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-server\Папка обмена\БУХГАЛТЕРИЯ\Сметанина ЕН\С РАБОЧЕГО СТОЛА 2020\ПФХД на 2020\2024\ДОУ 5\ДС 5 ПФХД на  01.01.2024— копия\"/>
    </mc:Choice>
  </mc:AlternateContent>
  <bookViews>
    <workbookView xWindow="-120" yWindow="-120" windowWidth="29040" windowHeight="15840" tabRatio="971" activeTab="1"/>
  </bookViews>
  <sheets>
    <sheet name="Раздел 1.Поступления и выплаты" sheetId="1" r:id="rId1"/>
    <sheet name="Раздел 2.Сведения по выплатам" sheetId="2" r:id="rId2"/>
    <sheet name="3.1.1." sheetId="3" r:id="rId3"/>
    <sheet name="3.1.2" sheetId="4" r:id="rId4"/>
    <sheet name="3.1.3" sheetId="5" r:id="rId5"/>
    <sheet name="3.2.1" sheetId="6" r:id="rId6"/>
    <sheet name="3.2.2" sheetId="7" r:id="rId7"/>
    <sheet name="3.2.3пит рп" sheetId="8" r:id="rId8"/>
    <sheet name="3.2.4" sheetId="9" r:id="rId9"/>
    <sheet name="3.2.5" sheetId="10" r:id="rId10"/>
    <sheet name="3.3.1" sheetId="11" r:id="rId11"/>
    <sheet name="3.4.1" sheetId="12" r:id="rId12"/>
    <sheet name="3.5.1" sheetId="13" r:id="rId13"/>
    <sheet name="3.6.1" sheetId="14" r:id="rId14"/>
    <sheet name="3.6.3 Штатка" sheetId="15" r:id="rId15"/>
    <sheet name="3.6.4" sheetId="16" r:id="rId16"/>
    <sheet name="3.6.5" sheetId="17" r:id="rId17"/>
    <sheet name="3.7.1" sheetId="18" r:id="rId18"/>
    <sheet name="3.7.2" sheetId="19" r:id="rId19"/>
    <sheet name="3.8.1" sheetId="20" r:id="rId20"/>
    <sheet name="3.8.2" sheetId="21" r:id="rId21"/>
    <sheet name="3.9" sheetId="22" r:id="rId22"/>
    <sheet name="3.10" sheetId="23" r:id="rId23"/>
    <sheet name="3.11" sheetId="24" r:id="rId24"/>
    <sheet name="3.12" sheetId="25" r:id="rId25"/>
    <sheet name="3.13.1СВОД" sheetId="26" r:id="rId26"/>
    <sheet name="3.13.2 связь" sheetId="27" r:id="rId27"/>
    <sheet name="3.13.3" sheetId="28" r:id="rId28"/>
    <sheet name="3.13.4 ЖКС" sheetId="29" r:id="rId29"/>
    <sheet name="3.13.5" sheetId="30" r:id="rId30"/>
    <sheet name="3.13.6 ст 225" sheetId="31" r:id="rId31"/>
    <sheet name="3.13.7" sheetId="32" r:id="rId32"/>
    <sheet name="3.13.8" sheetId="33" r:id="rId33"/>
    <sheet name="3.13.9 ст 226" sheetId="37" r:id="rId34"/>
    <sheet name="3.13.10 ст 310" sheetId="38" r:id="rId35"/>
    <sheet name="3.13.11 ст 340" sheetId="39" r:id="rId36"/>
    <sheet name="Лист1" sheetId="40" state="hidden" r:id="rId37"/>
    <sheet name="Лист2" sheetId="41" r:id="rId38"/>
  </sheets>
  <calcPr calcId="152511" iterate="1" iterateCount="201" calcOnSave="0"/>
</workbook>
</file>

<file path=xl/calcChain.xml><?xml version="1.0" encoding="utf-8"?>
<calcChain xmlns="http://schemas.openxmlformats.org/spreadsheetml/2006/main">
  <c r="C12" i="14" l="1"/>
  <c r="D43" i="1" s="1"/>
  <c r="J15" i="7" l="1"/>
  <c r="I15" i="7" l="1"/>
  <c r="C16" i="12" l="1"/>
  <c r="J74" i="39"/>
  <c r="G8" i="37"/>
  <c r="G9" i="37"/>
  <c r="G10" i="37"/>
  <c r="G11" i="37"/>
  <c r="G12" i="37"/>
  <c r="G13" i="37"/>
  <c r="G14" i="37"/>
  <c r="G15" i="37"/>
  <c r="G16" i="37"/>
  <c r="G17" i="37"/>
  <c r="J36" i="39" l="1"/>
  <c r="J37" i="39"/>
  <c r="J38" i="39"/>
  <c r="J35" i="39"/>
  <c r="J9" i="39"/>
  <c r="J10" i="39"/>
  <c r="J11" i="39"/>
  <c r="J12" i="39"/>
  <c r="J13" i="39"/>
  <c r="J14" i="39"/>
  <c r="J15" i="39"/>
  <c r="J16" i="39"/>
  <c r="J17" i="39"/>
  <c r="G39" i="37"/>
  <c r="G40" i="37"/>
  <c r="G38" i="37"/>
  <c r="G30" i="37"/>
  <c r="H30" i="37"/>
  <c r="H27" i="37"/>
  <c r="H28" i="37"/>
  <c r="H29" i="37"/>
  <c r="G27" i="37"/>
  <c r="G28" i="37"/>
  <c r="G29" i="37"/>
  <c r="G26" i="37"/>
  <c r="F30" i="37"/>
  <c r="G7" i="37"/>
  <c r="K26" i="31"/>
  <c r="J26" i="31"/>
  <c r="K25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7" i="31"/>
  <c r="I26" i="31"/>
  <c r="J9" i="29"/>
  <c r="J8" i="29"/>
  <c r="I9" i="29"/>
  <c r="I8" i="29"/>
  <c r="F204" i="15" l="1"/>
  <c r="L203" i="15"/>
  <c r="J203" i="15"/>
  <c r="J204" i="15" s="1"/>
  <c r="O202" i="15"/>
  <c r="L202" i="15"/>
  <c r="O201" i="15"/>
  <c r="L201" i="15"/>
  <c r="O200" i="15"/>
  <c r="L200" i="15"/>
  <c r="L199" i="15"/>
  <c r="O199" i="15" s="1"/>
  <c r="E199" i="15" s="1"/>
  <c r="D199" i="15" s="1"/>
  <c r="L198" i="15"/>
  <c r="H198" i="15"/>
  <c r="L197" i="15"/>
  <c r="H197" i="15"/>
  <c r="O197" i="15" s="1"/>
  <c r="E197" i="15" s="1"/>
  <c r="O196" i="15"/>
  <c r="L196" i="15"/>
  <c r="E196" i="15"/>
  <c r="P196" i="15" s="1"/>
  <c r="O195" i="15"/>
  <c r="L195" i="15"/>
  <c r="H195" i="15"/>
  <c r="O194" i="15"/>
  <c r="L194" i="15"/>
  <c r="H194" i="15"/>
  <c r="H193" i="15"/>
  <c r="O193" i="15" s="1"/>
  <c r="F183" i="15"/>
  <c r="J182" i="15"/>
  <c r="J183" i="15" s="1"/>
  <c r="O181" i="15"/>
  <c r="L181" i="15"/>
  <c r="O180" i="15"/>
  <c r="L180" i="15"/>
  <c r="H180" i="15"/>
  <c r="O179" i="15"/>
  <c r="E179" i="15" s="1"/>
  <c r="L179" i="15"/>
  <c r="O178" i="15"/>
  <c r="L178" i="15"/>
  <c r="H178" i="15"/>
  <c r="E177" i="15"/>
  <c r="D177" i="15" s="1"/>
  <c r="O176" i="15"/>
  <c r="H176" i="15"/>
  <c r="H183" i="15" s="1"/>
  <c r="F168" i="15"/>
  <c r="O167" i="15"/>
  <c r="J167" i="15"/>
  <c r="M167" i="15" s="1"/>
  <c r="O166" i="15"/>
  <c r="M166" i="15"/>
  <c r="L166" i="15"/>
  <c r="E166" i="15" s="1"/>
  <c r="O165" i="15"/>
  <c r="L165" i="15"/>
  <c r="J165" i="15"/>
  <c r="I165" i="15"/>
  <c r="M165" i="15" s="1"/>
  <c r="H165" i="15"/>
  <c r="J164" i="15"/>
  <c r="I164" i="15"/>
  <c r="H164" i="15"/>
  <c r="G164" i="15"/>
  <c r="O163" i="15"/>
  <c r="L163" i="15"/>
  <c r="J163" i="15"/>
  <c r="M163" i="15" s="1"/>
  <c r="J162" i="15"/>
  <c r="M162" i="15" s="1"/>
  <c r="I162" i="15"/>
  <c r="H162" i="15"/>
  <c r="L162" i="15" s="1"/>
  <c r="J161" i="15"/>
  <c r="I161" i="15"/>
  <c r="H161" i="15"/>
  <c r="G161" i="15"/>
  <c r="M161" i="15" s="1"/>
  <c r="O160" i="15"/>
  <c r="M160" i="15"/>
  <c r="L160" i="15"/>
  <c r="E160" i="15" s="1"/>
  <c r="P160" i="15" s="1"/>
  <c r="J159" i="15"/>
  <c r="I159" i="15"/>
  <c r="H159" i="15"/>
  <c r="G159" i="15"/>
  <c r="M159" i="15" s="1"/>
  <c r="J158" i="15"/>
  <c r="I158" i="15"/>
  <c r="H158" i="15"/>
  <c r="G158" i="15"/>
  <c r="M158" i="15" s="1"/>
  <c r="F135" i="15"/>
  <c r="J134" i="15"/>
  <c r="O134" i="15" s="1"/>
  <c r="O133" i="15"/>
  <c r="L133" i="15"/>
  <c r="E133" i="15" s="1"/>
  <c r="O132" i="15"/>
  <c r="L132" i="15"/>
  <c r="O131" i="15"/>
  <c r="L131" i="15"/>
  <c r="L130" i="15"/>
  <c r="L129" i="15"/>
  <c r="H129" i="15"/>
  <c r="H135" i="15" s="1"/>
  <c r="H128" i="15"/>
  <c r="O127" i="15"/>
  <c r="L127" i="15"/>
  <c r="O126" i="15"/>
  <c r="L126" i="15"/>
  <c r="H126" i="15"/>
  <c r="O125" i="15"/>
  <c r="L125" i="15"/>
  <c r="H125" i="15"/>
  <c r="H124" i="15"/>
  <c r="F114" i="15"/>
  <c r="J113" i="15"/>
  <c r="O113" i="15" s="1"/>
  <c r="O112" i="15"/>
  <c r="L112" i="15"/>
  <c r="O111" i="15"/>
  <c r="L111" i="15"/>
  <c r="H111" i="15"/>
  <c r="O110" i="15"/>
  <c r="E110" i="15" s="1"/>
  <c r="P110" i="15" s="1"/>
  <c r="L110" i="15"/>
  <c r="O109" i="15"/>
  <c r="L109" i="15"/>
  <c r="E109" i="15" s="1"/>
  <c r="H109" i="15"/>
  <c r="E108" i="15"/>
  <c r="P108" i="15" s="1"/>
  <c r="D108" i="15"/>
  <c r="H107" i="15"/>
  <c r="L107" i="15" s="1"/>
  <c r="F99" i="15"/>
  <c r="J98" i="15"/>
  <c r="O98" i="15" s="1"/>
  <c r="O97" i="15"/>
  <c r="M97" i="15"/>
  <c r="L97" i="15"/>
  <c r="E97" i="15" s="1"/>
  <c r="O96" i="15"/>
  <c r="L96" i="15"/>
  <c r="J96" i="15"/>
  <c r="I96" i="15"/>
  <c r="H96" i="15"/>
  <c r="E96" i="15" s="1"/>
  <c r="D96" i="15" s="1"/>
  <c r="J95" i="15"/>
  <c r="I95" i="15"/>
  <c r="H95" i="15"/>
  <c r="G95" i="15"/>
  <c r="L95" i="15" s="1"/>
  <c r="J94" i="15"/>
  <c r="O94" i="15" s="1"/>
  <c r="J93" i="15"/>
  <c r="I93" i="15"/>
  <c r="M93" i="15" s="1"/>
  <c r="H93" i="15"/>
  <c r="L93" i="15" s="1"/>
  <c r="J92" i="15"/>
  <c r="I92" i="15"/>
  <c r="H92" i="15"/>
  <c r="L92" i="15" s="1"/>
  <c r="G92" i="15"/>
  <c r="O91" i="15"/>
  <c r="M91" i="15"/>
  <c r="L91" i="15"/>
  <c r="E91" i="15" s="1"/>
  <c r="J90" i="15"/>
  <c r="I90" i="15"/>
  <c r="M90" i="15" s="1"/>
  <c r="H90" i="15"/>
  <c r="L90" i="15" s="1"/>
  <c r="G90" i="15"/>
  <c r="J89" i="15"/>
  <c r="I89" i="15"/>
  <c r="I99" i="15" s="1"/>
  <c r="H89" i="15"/>
  <c r="G89" i="15"/>
  <c r="J54" i="15"/>
  <c r="J34" i="15"/>
  <c r="J18" i="15"/>
  <c r="E162" i="15" l="1"/>
  <c r="P162" i="15" s="1"/>
  <c r="P179" i="15"/>
  <c r="D179" i="15"/>
  <c r="E94" i="15"/>
  <c r="D94" i="15" s="1"/>
  <c r="J99" i="15"/>
  <c r="M92" i="15"/>
  <c r="L94" i="15"/>
  <c r="E111" i="15"/>
  <c r="D111" i="15" s="1"/>
  <c r="E112" i="15"/>
  <c r="P112" i="15" s="1"/>
  <c r="J114" i="15"/>
  <c r="E127" i="15"/>
  <c r="L128" i="15"/>
  <c r="E128" i="15" s="1"/>
  <c r="E132" i="15"/>
  <c r="L134" i="15"/>
  <c r="H168" i="15"/>
  <c r="L159" i="15"/>
  <c r="E181" i="15"/>
  <c r="P181" i="15" s="1"/>
  <c r="E195" i="15"/>
  <c r="D195" i="15" s="1"/>
  <c r="E200" i="15"/>
  <c r="P200" i="15" s="1"/>
  <c r="E202" i="15"/>
  <c r="O203" i="15"/>
  <c r="E203" i="15" s="1"/>
  <c r="P203" i="15" s="1"/>
  <c r="M89" i="15"/>
  <c r="L89" i="15"/>
  <c r="M94" i="15"/>
  <c r="M96" i="15"/>
  <c r="L114" i="15"/>
  <c r="O128" i="15"/>
  <c r="I168" i="15"/>
  <c r="L161" i="15"/>
  <c r="O162" i="15"/>
  <c r="E163" i="15"/>
  <c r="D163" i="15" s="1"/>
  <c r="O164" i="15"/>
  <c r="E178" i="15"/>
  <c r="E180" i="15"/>
  <c r="D180" i="15" s="1"/>
  <c r="E194" i="15"/>
  <c r="D194" i="15" s="1"/>
  <c r="E134" i="15"/>
  <c r="P134" i="15" s="1"/>
  <c r="H99" i="15"/>
  <c r="O90" i="15"/>
  <c r="O92" i="15"/>
  <c r="O107" i="15"/>
  <c r="O114" i="15" s="1"/>
  <c r="L113" i="15"/>
  <c r="E125" i="15"/>
  <c r="D125" i="15" s="1"/>
  <c r="E126" i="15"/>
  <c r="D126" i="15" s="1"/>
  <c r="E131" i="15"/>
  <c r="P131" i="15" s="1"/>
  <c r="J135" i="15"/>
  <c r="M164" i="15"/>
  <c r="M168" i="15" s="1"/>
  <c r="E165" i="15"/>
  <c r="D165" i="15" s="1"/>
  <c r="L176" i="15"/>
  <c r="E176" i="15" s="1"/>
  <c r="L204" i="15"/>
  <c r="E201" i="15"/>
  <c r="P166" i="15"/>
  <c r="D166" i="15"/>
  <c r="D197" i="15"/>
  <c r="P197" i="15"/>
  <c r="P178" i="15"/>
  <c r="D178" i="15"/>
  <c r="P180" i="15"/>
  <c r="H204" i="15"/>
  <c r="L158" i="15"/>
  <c r="O159" i="15"/>
  <c r="O161" i="15"/>
  <c r="E161" i="15" s="1"/>
  <c r="L164" i="15"/>
  <c r="E164" i="15" s="1"/>
  <c r="G168" i="15"/>
  <c r="P177" i="15"/>
  <c r="E159" i="15"/>
  <c r="L167" i="15"/>
  <c r="E167" i="15" s="1"/>
  <c r="O182" i="15"/>
  <c r="O183" i="15" s="1"/>
  <c r="L193" i="15"/>
  <c r="E193" i="15" s="1"/>
  <c r="O198" i="15"/>
  <c r="O204" i="15" s="1"/>
  <c r="J168" i="15"/>
  <c r="L182" i="15"/>
  <c r="O158" i="15"/>
  <c r="E158" i="15" s="1"/>
  <c r="D160" i="15"/>
  <c r="D196" i="15"/>
  <c r="P91" i="15"/>
  <c r="D91" i="15"/>
  <c r="P109" i="15"/>
  <c r="D109" i="15"/>
  <c r="D97" i="15"/>
  <c r="P97" i="15"/>
  <c r="P111" i="15"/>
  <c r="P127" i="15"/>
  <c r="D127" i="15"/>
  <c r="E124" i="15"/>
  <c r="E113" i="15"/>
  <c r="P113" i="15" s="1"/>
  <c r="G99" i="15"/>
  <c r="E90" i="15"/>
  <c r="E92" i="15"/>
  <c r="O93" i="15"/>
  <c r="M95" i="15"/>
  <c r="L98" i="15"/>
  <c r="L99" i="15" s="1"/>
  <c r="E107" i="15"/>
  <c r="H114" i="15"/>
  <c r="L124" i="15"/>
  <c r="O129" i="15"/>
  <c r="O130" i="15"/>
  <c r="E130" i="15" s="1"/>
  <c r="D130" i="15" s="1"/>
  <c r="L135" i="15"/>
  <c r="O89" i="15"/>
  <c r="O95" i="15"/>
  <c r="E95" i="15" s="1"/>
  <c r="M98" i="15"/>
  <c r="O124" i="15"/>
  <c r="E93" i="15"/>
  <c r="E98" i="15"/>
  <c r="D110" i="15"/>
  <c r="D128" i="15" l="1"/>
  <c r="P128" i="15"/>
  <c r="O135" i="15"/>
  <c r="M99" i="15"/>
  <c r="P94" i="15"/>
  <c r="L183" i="15"/>
  <c r="P163" i="15"/>
  <c r="D162" i="15"/>
  <c r="P161" i="15"/>
  <c r="D161" i="15"/>
  <c r="E182" i="15"/>
  <c r="P182" i="15" s="1"/>
  <c r="P158" i="15"/>
  <c r="E168" i="15"/>
  <c r="D158" i="15"/>
  <c r="D167" i="15"/>
  <c r="P167" i="15"/>
  <c r="L168" i="15"/>
  <c r="E198" i="15"/>
  <c r="P159" i="15"/>
  <c r="D159" i="15"/>
  <c r="P176" i="15"/>
  <c r="D176" i="15"/>
  <c r="O168" i="15"/>
  <c r="P193" i="15"/>
  <c r="P204" i="15" s="1"/>
  <c r="D193" i="15"/>
  <c r="D164" i="15"/>
  <c r="P164" i="15"/>
  <c r="P95" i="15"/>
  <c r="D95" i="15"/>
  <c r="P98" i="15"/>
  <c r="D98" i="15"/>
  <c r="P90" i="15"/>
  <c r="D90" i="15"/>
  <c r="P124" i="15"/>
  <c r="P135" i="15" s="1"/>
  <c r="D124" i="15"/>
  <c r="O99" i="15"/>
  <c r="E89" i="15"/>
  <c r="E129" i="15"/>
  <c r="P93" i="15"/>
  <c r="D93" i="15"/>
  <c r="E114" i="15"/>
  <c r="P107" i="15"/>
  <c r="P114" i="15" s="1"/>
  <c r="D107" i="15"/>
  <c r="P92" i="15"/>
  <c r="D92" i="15"/>
  <c r="E204" i="15" l="1"/>
  <c r="D198" i="15"/>
  <c r="D168" i="15"/>
  <c r="P168" i="15"/>
  <c r="P183" i="15"/>
  <c r="E183" i="15"/>
  <c r="E135" i="15"/>
  <c r="D129" i="15"/>
  <c r="P89" i="15"/>
  <c r="P99" i="15" s="1"/>
  <c r="E99" i="15"/>
  <c r="D89" i="15"/>
  <c r="D99" i="15" s="1"/>
  <c r="F7" i="9" l="1"/>
  <c r="F13" i="9"/>
  <c r="K8" i="8"/>
  <c r="J7" i="8"/>
  <c r="J8" i="8"/>
  <c r="I7" i="8"/>
  <c r="K15" i="7"/>
  <c r="D86" i="19" l="1"/>
  <c r="D93" i="19" s="1"/>
  <c r="G93" i="19" s="1"/>
  <c r="G90" i="19" s="1"/>
  <c r="D48" i="19"/>
  <c r="D29" i="19"/>
  <c r="D10" i="19"/>
  <c r="G10" i="19" s="1"/>
  <c r="G29" i="19" l="1"/>
  <c r="H29" i="19" s="1"/>
  <c r="G48" i="19"/>
  <c r="H48" i="19" s="1"/>
  <c r="G86" i="19"/>
  <c r="G85" i="19" s="1"/>
  <c r="G96" i="19" s="1"/>
  <c r="E86" i="19"/>
  <c r="E93" i="19" s="1"/>
  <c r="H93" i="19" s="1"/>
  <c r="H90" i="19" s="1"/>
  <c r="H86" i="19" l="1"/>
  <c r="H85" i="19" s="1"/>
  <c r="H96" i="19" s="1"/>
  <c r="J66" i="15" l="1"/>
  <c r="F66" i="15"/>
  <c r="L65" i="15"/>
  <c r="O65" i="15" s="1"/>
  <c r="O66" i="15" s="1"/>
  <c r="L64" i="15"/>
  <c r="E64" i="15" s="1"/>
  <c r="O64" i="15"/>
  <c r="L50" i="15"/>
  <c r="O50" i="15" s="1"/>
  <c r="L49" i="15"/>
  <c r="H49" i="15"/>
  <c r="H48" i="15"/>
  <c r="O46" i="15"/>
  <c r="L46" i="15"/>
  <c r="H46" i="15"/>
  <c r="O45" i="15"/>
  <c r="L45" i="15"/>
  <c r="H45" i="15"/>
  <c r="H44" i="15"/>
  <c r="O32" i="15"/>
  <c r="L32" i="15"/>
  <c r="H32" i="15"/>
  <c r="O30" i="15"/>
  <c r="L30" i="15"/>
  <c r="H30" i="15"/>
  <c r="H28" i="15"/>
  <c r="O16" i="15"/>
  <c r="L16" i="15"/>
  <c r="J16" i="15"/>
  <c r="H16" i="15"/>
  <c r="J15" i="15"/>
  <c r="H15" i="15"/>
  <c r="G15" i="15"/>
  <c r="J14" i="15"/>
  <c r="L14" i="15" s="1"/>
  <c r="J13" i="15"/>
  <c r="H13" i="15"/>
  <c r="J12" i="15"/>
  <c r="H12" i="15"/>
  <c r="G12" i="15"/>
  <c r="O11" i="15"/>
  <c r="L11" i="15"/>
  <c r="J10" i="15"/>
  <c r="H10" i="15"/>
  <c r="G10" i="15"/>
  <c r="J9" i="15"/>
  <c r="H9" i="15"/>
  <c r="G9" i="15"/>
  <c r="K78" i="38"/>
  <c r="J78" i="38"/>
  <c r="I78" i="38"/>
  <c r="P23" i="26" s="1"/>
  <c r="P13" i="26" s="1"/>
  <c r="K77" i="38"/>
  <c r="F75" i="38"/>
  <c r="F112" i="39"/>
  <c r="K115" i="39"/>
  <c r="J115" i="39"/>
  <c r="K114" i="39"/>
  <c r="I115" i="39"/>
  <c r="Q24" i="26" s="1"/>
  <c r="Q13" i="26" s="1"/>
  <c r="O23" i="26"/>
  <c r="I104" i="39"/>
  <c r="I67" i="38"/>
  <c r="J67" i="38"/>
  <c r="K67" i="38"/>
  <c r="E30" i="15" l="1"/>
  <c r="D30" i="15" s="1"/>
  <c r="L66" i="15"/>
  <c r="L15" i="15"/>
  <c r="O9" i="15"/>
  <c r="L13" i="15"/>
  <c r="E65" i="15"/>
  <c r="D64" i="15"/>
  <c r="P64" i="15" s="1"/>
  <c r="O14" i="15"/>
  <c r="O12" i="15"/>
  <c r="O15" i="15"/>
  <c r="L12" i="15"/>
  <c r="O10" i="15"/>
  <c r="E16" i="15"/>
  <c r="D16" i="15" s="1"/>
  <c r="L10" i="15"/>
  <c r="L9" i="15"/>
  <c r="M17" i="15"/>
  <c r="M11" i="15"/>
  <c r="I9" i="15"/>
  <c r="I10" i="15"/>
  <c r="I12" i="15"/>
  <c r="I13" i="15"/>
  <c r="I15" i="15"/>
  <c r="I16" i="15"/>
  <c r="F19" i="15"/>
  <c r="J75" i="26"/>
  <c r="L75" i="26"/>
  <c r="J51" i="26"/>
  <c r="L51" i="26"/>
  <c r="I17" i="9"/>
  <c r="K8" i="7"/>
  <c r="I8" i="7"/>
  <c r="J17" i="9"/>
  <c r="H19" i="29"/>
  <c r="I15" i="29"/>
  <c r="I14" i="29"/>
  <c r="I23" i="29"/>
  <c r="I22" i="29"/>
  <c r="E10" i="15" l="1"/>
  <c r="P10" i="15" s="1"/>
  <c r="E66" i="15"/>
  <c r="P65" i="15"/>
  <c r="E9" i="15"/>
  <c r="D9" i="15" s="1"/>
  <c r="M14" i="15"/>
  <c r="M12" i="15"/>
  <c r="M13" i="15"/>
  <c r="M9" i="15"/>
  <c r="M18" i="15"/>
  <c r="M16" i="15"/>
  <c r="M10" i="15"/>
  <c r="M15" i="15"/>
  <c r="I19" i="15"/>
  <c r="G19" i="15"/>
  <c r="E215" i="15"/>
  <c r="E13" i="14" s="1"/>
  <c r="C214" i="15"/>
  <c r="C213" i="15"/>
  <c r="C212" i="15"/>
  <c r="C211" i="15"/>
  <c r="C210" i="15"/>
  <c r="C209" i="15"/>
  <c r="E146" i="15"/>
  <c r="C145" i="15"/>
  <c r="C144" i="15"/>
  <c r="C143" i="15"/>
  <c r="C142" i="15"/>
  <c r="C141" i="15"/>
  <c r="C140" i="15"/>
  <c r="C76" i="15"/>
  <c r="C73" i="15"/>
  <c r="C74" i="15"/>
  <c r="C75" i="15"/>
  <c r="C77" i="15"/>
  <c r="E78" i="15"/>
  <c r="O53" i="15"/>
  <c r="L53" i="15"/>
  <c r="O49" i="15"/>
  <c r="E45" i="15"/>
  <c r="O28" i="15"/>
  <c r="G12" i="9"/>
  <c r="F12" i="9"/>
  <c r="G16" i="9"/>
  <c r="H16" i="9"/>
  <c r="F16" i="9"/>
  <c r="F54" i="38"/>
  <c r="K55" i="38"/>
  <c r="J55" i="38"/>
  <c r="I55" i="38"/>
  <c r="N23" i="26" s="1"/>
  <c r="C86" i="19" l="1"/>
  <c r="F86" i="19" s="1"/>
  <c r="F85" i="19" s="1"/>
  <c r="P66" i="15"/>
  <c r="D45" i="15"/>
  <c r="M19" i="15"/>
  <c r="L28" i="15"/>
  <c r="E53" i="15"/>
  <c r="D13" i="14"/>
  <c r="D67" i="19"/>
  <c r="C93" i="19" l="1"/>
  <c r="F93" i="19" s="1"/>
  <c r="F90" i="19" s="1"/>
  <c r="F96" i="19"/>
  <c r="E67" i="19"/>
  <c r="G67" i="19"/>
  <c r="H67" i="19" s="1"/>
  <c r="G14" i="9" l="1"/>
  <c r="F14" i="9"/>
  <c r="P207" i="15" l="1"/>
  <c r="P138" i="15"/>
  <c r="J35" i="15"/>
  <c r="I59" i="31"/>
  <c r="O19" i="26" l="1"/>
  <c r="K59" i="31"/>
  <c r="J59" i="31"/>
  <c r="B56" i="31"/>
  <c r="B57" i="31" s="1"/>
  <c r="H19" i="15" l="1"/>
  <c r="G56" i="39" l="1"/>
  <c r="F56" i="39"/>
  <c r="F45" i="38"/>
  <c r="F44" i="38"/>
  <c r="E8" i="7" l="1"/>
  <c r="C8" i="7"/>
  <c r="I46" i="38" l="1"/>
  <c r="J46" i="38"/>
  <c r="K44" i="38"/>
  <c r="K46" i="38" s="1"/>
  <c r="F70" i="37" l="1"/>
  <c r="G17" i="38" l="1"/>
  <c r="F17" i="38"/>
  <c r="E11" i="6" l="1"/>
  <c r="C35" i="38"/>
  <c r="K35" i="38"/>
  <c r="F20" i="1"/>
  <c r="F19" i="1" s="1"/>
  <c r="H20" i="1"/>
  <c r="H19" i="1" s="1"/>
  <c r="C13" i="14"/>
  <c r="C72" i="15"/>
  <c r="K56" i="39"/>
  <c r="H56" i="39" s="1"/>
  <c r="K17" i="38"/>
  <c r="H17" i="38" s="1"/>
  <c r="K18" i="29"/>
  <c r="K19" i="29"/>
  <c r="I24" i="29"/>
  <c r="D23" i="29"/>
  <c r="D22" i="29"/>
  <c r="K13" i="29"/>
  <c r="K12" i="29"/>
  <c r="K11" i="29"/>
  <c r="K10" i="29"/>
  <c r="K9" i="29"/>
  <c r="K8" i="29"/>
  <c r="K17" i="29"/>
  <c r="K16" i="29"/>
  <c r="K15" i="29"/>
  <c r="K14" i="29"/>
  <c r="C20" i="29"/>
  <c r="K21" i="29"/>
  <c r="K20" i="29"/>
  <c r="E23" i="29" l="1"/>
  <c r="J23" i="29"/>
  <c r="K23" i="29" s="1"/>
  <c r="E22" i="29"/>
  <c r="J22" i="29"/>
  <c r="C67" i="19"/>
  <c r="F67" i="19" s="1"/>
  <c r="H23" i="29"/>
  <c r="H22" i="29"/>
  <c r="K22" i="29" l="1"/>
  <c r="K24" i="29" s="1"/>
  <c r="J24" i="29"/>
  <c r="D41" i="26" s="1"/>
  <c r="D8" i="9"/>
  <c r="E8" i="9"/>
  <c r="D9" i="9"/>
  <c r="E9" i="9"/>
  <c r="D10" i="9"/>
  <c r="E10" i="9"/>
  <c r="D11" i="9"/>
  <c r="E11" i="9"/>
  <c r="D13" i="9"/>
  <c r="C15" i="9"/>
  <c r="D15" i="9"/>
  <c r="E15" i="9"/>
  <c r="D7" i="9"/>
  <c r="G26" i="39" l="1"/>
  <c r="F83" i="39"/>
  <c r="G74" i="39"/>
  <c r="G65" i="39"/>
  <c r="J27" i="39"/>
  <c r="F10" i="39"/>
  <c r="F11" i="39"/>
  <c r="G11" i="39"/>
  <c r="F12" i="39"/>
  <c r="G12" i="39"/>
  <c r="F13" i="39"/>
  <c r="G13" i="39"/>
  <c r="F14" i="39"/>
  <c r="F15" i="39"/>
  <c r="F17" i="39"/>
  <c r="G17" i="39"/>
  <c r="G9" i="39"/>
  <c r="F9" i="39"/>
  <c r="F26" i="38"/>
  <c r="G8" i="38"/>
  <c r="F8" i="38"/>
  <c r="K8" i="38"/>
  <c r="H8" i="38" s="1"/>
  <c r="J9" i="27"/>
  <c r="I9" i="27"/>
  <c r="J8" i="27"/>
  <c r="I8" i="27"/>
  <c r="D8" i="7" l="1"/>
  <c r="H38" i="26" l="1"/>
  <c r="I46" i="26" l="1"/>
  <c r="H79" i="37"/>
  <c r="G79" i="37"/>
  <c r="F79" i="37"/>
  <c r="I22" i="26" s="1"/>
  <c r="K47" i="31"/>
  <c r="I70" i="26" s="1"/>
  <c r="I47" i="31"/>
  <c r="P19" i="26" l="1"/>
  <c r="P27" i="26" s="1"/>
  <c r="F74" i="39"/>
  <c r="F65" i="39"/>
  <c r="F47" i="39"/>
  <c r="F37" i="39"/>
  <c r="F36" i="39"/>
  <c r="F35" i="39"/>
  <c r="G38" i="39"/>
  <c r="F38" i="39"/>
  <c r="F26" i="39"/>
  <c r="I27" i="39"/>
  <c r="I36" i="38"/>
  <c r="I18" i="38"/>
  <c r="K18" i="38"/>
  <c r="J18" i="38"/>
  <c r="K24" i="31" l="1"/>
  <c r="H70" i="37" l="1"/>
  <c r="G70" i="37"/>
  <c r="J36" i="38" l="1"/>
  <c r="O47" i="26" s="1"/>
  <c r="K36" i="38"/>
  <c r="O71" i="26" s="1"/>
  <c r="O24" i="26" l="1"/>
  <c r="F59" i="37" l="1"/>
  <c r="O22" i="26" s="1"/>
  <c r="O13" i="26" s="1"/>
  <c r="I38" i="31"/>
  <c r="O27" i="26" l="1"/>
  <c r="H59" i="37"/>
  <c r="G59" i="37"/>
  <c r="K57" i="39"/>
  <c r="J57" i="39"/>
  <c r="I57" i="39"/>
  <c r="H14" i="9" l="1"/>
  <c r="E13" i="9"/>
  <c r="J38" i="31" l="1"/>
  <c r="B35" i="31"/>
  <c r="B36" i="31" s="1"/>
  <c r="J104" i="39" l="1"/>
  <c r="K103" i="39"/>
  <c r="K104" i="39" s="1"/>
  <c r="K38" i="31"/>
  <c r="D13" i="6"/>
  <c r="E38" i="26"/>
  <c r="D7" i="8"/>
  <c r="C7" i="8"/>
  <c r="J39" i="39" l="1"/>
  <c r="E48" i="26" s="1"/>
  <c r="I39" i="39"/>
  <c r="K36" i="39"/>
  <c r="K37" i="39"/>
  <c r="K38" i="39"/>
  <c r="H38" i="39" s="1"/>
  <c r="F41" i="37"/>
  <c r="F18" i="37"/>
  <c r="D22" i="26" s="1"/>
  <c r="D19" i="26"/>
  <c r="C19" i="26" s="1"/>
  <c r="K8" i="31"/>
  <c r="K9" i="31"/>
  <c r="K18" i="31"/>
  <c r="K19" i="31"/>
  <c r="K22" i="31"/>
  <c r="C9" i="29"/>
  <c r="D9" i="29" s="1"/>
  <c r="E9" i="29" s="1"/>
  <c r="C10" i="29"/>
  <c r="D10" i="29" s="1"/>
  <c r="E10" i="29" s="1"/>
  <c r="C11" i="29"/>
  <c r="D11" i="29" s="1"/>
  <c r="E11" i="29" s="1"/>
  <c r="C12" i="29"/>
  <c r="D12" i="29" s="1"/>
  <c r="E12" i="29" s="1"/>
  <c r="C13" i="29"/>
  <c r="D13" i="29" s="1"/>
  <c r="E13" i="29" s="1"/>
  <c r="C14" i="29"/>
  <c r="D14" i="29" s="1"/>
  <c r="E14" i="29" s="1"/>
  <c r="C15" i="29"/>
  <c r="D15" i="29" s="1"/>
  <c r="E15" i="29" s="1"/>
  <c r="C16" i="29"/>
  <c r="D16" i="29" s="1"/>
  <c r="E16" i="29" s="1"/>
  <c r="C17" i="29"/>
  <c r="D17" i="29" s="1"/>
  <c r="E17" i="29" s="1"/>
  <c r="C18" i="29"/>
  <c r="D18" i="29" s="1"/>
  <c r="E18" i="29" s="1"/>
  <c r="C19" i="29"/>
  <c r="D19" i="29" s="1"/>
  <c r="E19" i="29" s="1"/>
  <c r="D20" i="29"/>
  <c r="E20" i="29" s="1"/>
  <c r="C21" i="29"/>
  <c r="D21" i="29" s="1"/>
  <c r="E21" i="29" s="1"/>
  <c r="C8" i="29"/>
  <c r="I63" i="1" l="1"/>
  <c r="H63" i="1"/>
  <c r="G63" i="1"/>
  <c r="F63" i="1"/>
  <c r="D66" i="1"/>
  <c r="E12" i="14" l="1"/>
  <c r="H43" i="1" s="1"/>
  <c r="D12" i="14" l="1"/>
  <c r="D17" i="26"/>
  <c r="F17" i="2"/>
  <c r="C68" i="26" l="1"/>
  <c r="C69" i="26"/>
  <c r="M61" i="26"/>
  <c r="M75" i="26" s="1"/>
  <c r="N61" i="26"/>
  <c r="N75" i="26" s="1"/>
  <c r="O61" i="26"/>
  <c r="E62" i="26"/>
  <c r="E15" i="12" l="1"/>
  <c r="O75" i="26"/>
  <c r="E29" i="19"/>
  <c r="E48" i="19" l="1"/>
  <c r="J55" i="15" l="1"/>
  <c r="F55" i="15"/>
  <c r="O54" i="15"/>
  <c r="L54" i="15"/>
  <c r="O52" i="15"/>
  <c r="L52" i="15"/>
  <c r="O51" i="15"/>
  <c r="L51" i="15"/>
  <c r="E50" i="15"/>
  <c r="D50" i="15" s="1"/>
  <c r="H55" i="15"/>
  <c r="O48" i="15"/>
  <c r="L48" i="15"/>
  <c r="O47" i="15"/>
  <c r="L47" i="15"/>
  <c r="O44" i="15"/>
  <c r="L44" i="15"/>
  <c r="F35" i="15"/>
  <c r="O34" i="15"/>
  <c r="L34" i="15"/>
  <c r="O33" i="15"/>
  <c r="L33" i="15"/>
  <c r="O31" i="15"/>
  <c r="L31" i="15"/>
  <c r="E29" i="15"/>
  <c r="E28" i="15"/>
  <c r="J19" i="15"/>
  <c r="O18" i="15"/>
  <c r="L18" i="15"/>
  <c r="O17" i="15"/>
  <c r="L17" i="15"/>
  <c r="O13" i="15"/>
  <c r="E11" i="15"/>
  <c r="D11" i="15" s="1"/>
  <c r="P28" i="15" l="1"/>
  <c r="D28" i="15"/>
  <c r="P29" i="15"/>
  <c r="D29" i="15"/>
  <c r="E14" i="15"/>
  <c r="D14" i="15" s="1"/>
  <c r="E13" i="15"/>
  <c r="E12" i="15"/>
  <c r="D12" i="15" s="1"/>
  <c r="E18" i="15"/>
  <c r="P18" i="15" s="1"/>
  <c r="E46" i="15"/>
  <c r="E52" i="15"/>
  <c r="E33" i="15"/>
  <c r="P33" i="15" s="1"/>
  <c r="E54" i="15"/>
  <c r="P54" i="15" s="1"/>
  <c r="E31" i="15"/>
  <c r="E47" i="15"/>
  <c r="E17" i="15"/>
  <c r="P17" i="15" s="1"/>
  <c r="E48" i="15"/>
  <c r="E51" i="15"/>
  <c r="P51" i="15" s="1"/>
  <c r="E34" i="15"/>
  <c r="P34" i="15" s="1"/>
  <c r="E32" i="15"/>
  <c r="H35" i="15"/>
  <c r="P9" i="15"/>
  <c r="P11" i="15"/>
  <c r="E44" i="15"/>
  <c r="L55" i="15"/>
  <c r="O55" i="15"/>
  <c r="P30" i="15"/>
  <c r="O35" i="15"/>
  <c r="D13" i="15" l="1"/>
  <c r="P13" i="15"/>
  <c r="D32" i="15"/>
  <c r="P32" i="15"/>
  <c r="P48" i="15"/>
  <c r="D48" i="15"/>
  <c r="P47" i="15"/>
  <c r="D47" i="15"/>
  <c r="D46" i="15"/>
  <c r="P44" i="15"/>
  <c r="D44" i="15"/>
  <c r="P31" i="15"/>
  <c r="P35" i="15" s="1"/>
  <c r="C10" i="19" s="1"/>
  <c r="F10" i="19" s="1"/>
  <c r="D31" i="15"/>
  <c r="D18" i="15"/>
  <c r="D17" i="15"/>
  <c r="E15" i="15"/>
  <c r="D15" i="15" s="1"/>
  <c r="P14" i="15"/>
  <c r="P12" i="15"/>
  <c r="L35" i="15"/>
  <c r="O19" i="15"/>
  <c r="E35" i="15"/>
  <c r="L19" i="15"/>
  <c r="E49" i="15"/>
  <c r="D49" i="15" s="1"/>
  <c r="H9" i="29"/>
  <c r="H11" i="29"/>
  <c r="H12" i="29"/>
  <c r="H13" i="29"/>
  <c r="H14" i="29"/>
  <c r="H15" i="29"/>
  <c r="H16" i="29"/>
  <c r="H17" i="29"/>
  <c r="H18" i="29"/>
  <c r="H20" i="29"/>
  <c r="G21" i="29"/>
  <c r="H21" i="29" s="1"/>
  <c r="H8" i="29"/>
  <c r="D8" i="29"/>
  <c r="E8" i="29" s="1"/>
  <c r="P55" i="15" l="1"/>
  <c r="C48" i="19" s="1"/>
  <c r="F48" i="19" s="1"/>
  <c r="D10" i="15"/>
  <c r="D19" i="15" s="1"/>
  <c r="I24" i="26"/>
  <c r="E19" i="15"/>
  <c r="P15" i="15"/>
  <c r="P19" i="15" s="1"/>
  <c r="P69" i="15" s="1"/>
  <c r="E55" i="15"/>
  <c r="C29" i="19" l="1"/>
  <c r="F29" i="19" s="1"/>
  <c r="E10" i="19"/>
  <c r="H10" i="19"/>
  <c r="F12" i="2" l="1"/>
  <c r="M37" i="26" l="1"/>
  <c r="M51" i="26" s="1"/>
  <c r="N37" i="26"/>
  <c r="N51" i="26" s="1"/>
  <c r="O37" i="26"/>
  <c r="D11" i="6"/>
  <c r="D15" i="12" l="1"/>
  <c r="O51" i="26"/>
  <c r="G66" i="19"/>
  <c r="D74" i="19"/>
  <c r="G74" i="19" s="1"/>
  <c r="G71" i="19" l="1"/>
  <c r="G77" i="19" s="1"/>
  <c r="H66" i="19"/>
  <c r="E74" i="19"/>
  <c r="H74" i="19" s="1"/>
  <c r="F9" i="19"/>
  <c r="D13" i="18" l="1"/>
  <c r="H71" i="19"/>
  <c r="H77" i="19" s="1"/>
  <c r="I23" i="26"/>
  <c r="H9" i="19" l="1"/>
  <c r="G9" i="19"/>
  <c r="D17" i="19"/>
  <c r="E17" i="19" s="1"/>
  <c r="G47" i="19"/>
  <c r="H28" i="19"/>
  <c r="E36" i="19"/>
  <c r="H36" i="19" s="1"/>
  <c r="D55" i="19" l="1"/>
  <c r="G55" i="19" s="1"/>
  <c r="H17" i="19"/>
  <c r="H14" i="19" s="1"/>
  <c r="H20" i="19" s="1"/>
  <c r="G17" i="19"/>
  <c r="G14" i="19" s="1"/>
  <c r="G20" i="19" s="1"/>
  <c r="E14" i="26"/>
  <c r="G11" i="2"/>
  <c r="H11" i="2" s="1"/>
  <c r="G9" i="2"/>
  <c r="H9" i="2" s="1"/>
  <c r="H12" i="9"/>
  <c r="E7" i="9"/>
  <c r="M9" i="21"/>
  <c r="F45" i="1" s="1"/>
  <c r="H45" i="1" s="1"/>
  <c r="N9" i="21"/>
  <c r="N9" i="27"/>
  <c r="N8" i="27"/>
  <c r="K8" i="27" s="1"/>
  <c r="K10" i="31"/>
  <c r="K11" i="31"/>
  <c r="K12" i="31"/>
  <c r="K13" i="31"/>
  <c r="K14" i="31"/>
  <c r="K15" i="31"/>
  <c r="K16" i="31"/>
  <c r="K17" i="31"/>
  <c r="K20" i="31"/>
  <c r="K21" i="31"/>
  <c r="K23" i="31"/>
  <c r="H39" i="37"/>
  <c r="H40" i="37"/>
  <c r="H38" i="37"/>
  <c r="H26" i="37"/>
  <c r="H8" i="37"/>
  <c r="H9" i="37"/>
  <c r="H10" i="37"/>
  <c r="H11" i="37"/>
  <c r="H12" i="37"/>
  <c r="H13" i="37"/>
  <c r="H14" i="37"/>
  <c r="H15" i="37"/>
  <c r="H16" i="37"/>
  <c r="H17" i="37"/>
  <c r="H7" i="37"/>
  <c r="K26" i="38"/>
  <c r="K74" i="39"/>
  <c r="H74" i="39" s="1"/>
  <c r="K65" i="39"/>
  <c r="H65" i="39" s="1"/>
  <c r="K17" i="39"/>
  <c r="H17" i="39" s="1"/>
  <c r="K17" i="9" l="1"/>
  <c r="K9" i="27"/>
  <c r="H62" i="26"/>
  <c r="K7" i="31"/>
  <c r="D67" i="26" s="1"/>
  <c r="C67" i="26" s="1"/>
  <c r="I48" i="26"/>
  <c r="I72" i="26"/>
  <c r="G52" i="19"/>
  <c r="G58" i="19" s="1"/>
  <c r="H33" i="19"/>
  <c r="H39" i="19" s="1"/>
  <c r="D36" i="19"/>
  <c r="G36" i="19" s="1"/>
  <c r="G28" i="19"/>
  <c r="H47" i="19"/>
  <c r="E55" i="19"/>
  <c r="H55" i="19" s="1"/>
  <c r="C38" i="26"/>
  <c r="H18" i="37"/>
  <c r="D70" i="26" s="1"/>
  <c r="G18" i="37"/>
  <c r="D46" i="26" s="1"/>
  <c r="F66" i="19"/>
  <c r="C74" i="19"/>
  <c r="F74" i="19" s="1"/>
  <c r="I71" i="26"/>
  <c r="K26" i="39"/>
  <c r="G50" i="37"/>
  <c r="F50" i="37"/>
  <c r="M22" i="26" s="1"/>
  <c r="K27" i="38"/>
  <c r="J27" i="38"/>
  <c r="I27" i="38"/>
  <c r="J23" i="26" s="1"/>
  <c r="J13" i="26" s="1"/>
  <c r="J27" i="26" s="1"/>
  <c r="K93" i="39"/>
  <c r="J93" i="39"/>
  <c r="I93" i="39"/>
  <c r="N24" i="26" s="1"/>
  <c r="K84" i="39"/>
  <c r="J84" i="39"/>
  <c r="I84" i="39"/>
  <c r="L24" i="26" s="1"/>
  <c r="L13" i="26" s="1"/>
  <c r="L27" i="26" s="1"/>
  <c r="D43" i="26" l="1"/>
  <c r="C43" i="26" s="1"/>
  <c r="K27" i="39"/>
  <c r="H26" i="39"/>
  <c r="I61" i="26"/>
  <c r="I75" i="26" s="1"/>
  <c r="G33" i="19"/>
  <c r="I47" i="26"/>
  <c r="G23" i="1"/>
  <c r="I23" i="1" s="1"/>
  <c r="D14" i="6"/>
  <c r="H52" i="19"/>
  <c r="H58" i="19" s="1"/>
  <c r="F71" i="19"/>
  <c r="F77" i="19" s="1"/>
  <c r="N13" i="26"/>
  <c r="N27" i="26" s="1"/>
  <c r="K75" i="39"/>
  <c r="F72" i="26" s="1"/>
  <c r="F61" i="26" s="1"/>
  <c r="F75" i="26" s="1"/>
  <c r="J75" i="39"/>
  <c r="F48" i="26" s="1"/>
  <c r="F37" i="26" s="1"/>
  <c r="F51" i="26" s="1"/>
  <c r="I75" i="39"/>
  <c r="F24" i="26" s="1"/>
  <c r="K66" i="39"/>
  <c r="K72" i="26" s="1"/>
  <c r="J66" i="39"/>
  <c r="K48" i="26" s="1"/>
  <c r="I66" i="39"/>
  <c r="H14" i="26"/>
  <c r="G39" i="19" l="1"/>
  <c r="D12" i="18" s="1"/>
  <c r="E12" i="18"/>
  <c r="K24" i="26"/>
  <c r="K61" i="26"/>
  <c r="K37" i="26"/>
  <c r="K51" i="26" s="1"/>
  <c r="G43" i="1"/>
  <c r="F47" i="1" l="1"/>
  <c r="D11" i="18"/>
  <c r="H47" i="1"/>
  <c r="H41" i="1" s="1"/>
  <c r="H48" i="1"/>
  <c r="H37" i="2"/>
  <c r="K75" i="26"/>
  <c r="I81" i="1"/>
  <c r="E13" i="18"/>
  <c r="G48" i="1" s="1"/>
  <c r="G47" i="1" s="1"/>
  <c r="I47" i="1" s="1"/>
  <c r="C13" i="18"/>
  <c r="I37" i="26"/>
  <c r="I51" i="26" s="1"/>
  <c r="I43" i="1"/>
  <c r="G37" i="2" l="1"/>
  <c r="G81" i="1"/>
  <c r="G84" i="1" s="1"/>
  <c r="I41" i="1"/>
  <c r="I84" i="1"/>
  <c r="I48" i="1"/>
  <c r="G41" i="1"/>
  <c r="K47" i="39"/>
  <c r="K35" i="39"/>
  <c r="K39" i="39" s="1"/>
  <c r="E72" i="26" s="1"/>
  <c r="K13" i="39"/>
  <c r="H13" i="39" s="1"/>
  <c r="K12" i="39"/>
  <c r="H12" i="39" s="1"/>
  <c r="K11" i="39"/>
  <c r="H11" i="39" s="1"/>
  <c r="I40" i="1" l="1"/>
  <c r="K15" i="39"/>
  <c r="H15" i="39" s="1"/>
  <c r="G15" i="39"/>
  <c r="K14" i="39"/>
  <c r="H14" i="39" s="1"/>
  <c r="G14" i="39"/>
  <c r="G40" i="1"/>
  <c r="D20" i="1"/>
  <c r="H41" i="37"/>
  <c r="H70" i="26" s="1"/>
  <c r="G41" i="37"/>
  <c r="H46" i="26" s="1"/>
  <c r="H22" i="26"/>
  <c r="J9" i="38"/>
  <c r="G47" i="26" s="1"/>
  <c r="K9" i="38"/>
  <c r="G71" i="26" s="1"/>
  <c r="I9" i="38"/>
  <c r="G23" i="26" s="1"/>
  <c r="E70" i="26"/>
  <c r="E46" i="26"/>
  <c r="E22" i="26"/>
  <c r="K9" i="39"/>
  <c r="H9" i="39" s="1"/>
  <c r="E16" i="26"/>
  <c r="C16" i="26" s="1"/>
  <c r="J9" i="28"/>
  <c r="K9" i="28"/>
  <c r="I9" i="28"/>
  <c r="M11" i="27"/>
  <c r="N11" i="27"/>
  <c r="L11" i="27"/>
  <c r="J8" i="10"/>
  <c r="K8" i="10"/>
  <c r="I8" i="10"/>
  <c r="C15" i="6" s="1"/>
  <c r="D15" i="6" s="1"/>
  <c r="E15" i="6" s="1"/>
  <c r="G22" i="1"/>
  <c r="C11" i="6"/>
  <c r="E48" i="1"/>
  <c r="E47" i="1" s="1"/>
  <c r="E18" i="1"/>
  <c r="E17" i="1"/>
  <c r="E13" i="1"/>
  <c r="C21" i="26"/>
  <c r="C20" i="26"/>
  <c r="C18" i="26"/>
  <c r="C23" i="26" l="1"/>
  <c r="K10" i="39"/>
  <c r="H10" i="39" s="1"/>
  <c r="G10" i="39"/>
  <c r="G61" i="26"/>
  <c r="G75" i="26" s="1"/>
  <c r="C71" i="26"/>
  <c r="G37" i="26"/>
  <c r="C47" i="26"/>
  <c r="C70" i="26"/>
  <c r="E37" i="26"/>
  <c r="E51" i="26" s="1"/>
  <c r="C46" i="26"/>
  <c r="E61" i="26"/>
  <c r="E75" i="26" s="1"/>
  <c r="I22" i="1"/>
  <c r="G19" i="1"/>
  <c r="I48" i="39"/>
  <c r="C13" i="6"/>
  <c r="E43" i="1"/>
  <c r="E41" i="1" s="1"/>
  <c r="M13" i="26"/>
  <c r="M27" i="26" s="1"/>
  <c r="C14" i="26"/>
  <c r="E24" i="26"/>
  <c r="F13" i="26"/>
  <c r="F27" i="26" s="1"/>
  <c r="G13" i="26"/>
  <c r="G27" i="26" s="1"/>
  <c r="K13" i="26"/>
  <c r="K27" i="26" s="1"/>
  <c r="D16" i="12" l="1"/>
  <c r="D13" i="12" s="1"/>
  <c r="D12" i="12" s="1"/>
  <c r="G29" i="2" s="1"/>
  <c r="G51" i="26"/>
  <c r="S21" i="26"/>
  <c r="C15" i="12"/>
  <c r="C13" i="12" s="1"/>
  <c r="E16" i="12"/>
  <c r="E13" i="12" s="1"/>
  <c r="E12" i="12" s="1"/>
  <c r="D20" i="12"/>
  <c r="H24" i="26"/>
  <c r="H13" i="26" s="1"/>
  <c r="D84" i="1" s="1"/>
  <c r="E22" i="1"/>
  <c r="I19" i="1"/>
  <c r="I12" i="1" s="1"/>
  <c r="G12" i="1"/>
  <c r="G104" i="1" s="1"/>
  <c r="C55" i="19"/>
  <c r="F55" i="19" s="1"/>
  <c r="F47" i="19"/>
  <c r="F28" i="19"/>
  <c r="C36" i="19"/>
  <c r="F36" i="19" s="1"/>
  <c r="K48" i="39"/>
  <c r="H72" i="26" s="1"/>
  <c r="H61" i="26" s="1"/>
  <c r="J48" i="39"/>
  <c r="H48" i="26" s="1"/>
  <c r="H37" i="26" s="1"/>
  <c r="I13" i="26"/>
  <c r="E13" i="26"/>
  <c r="J7" i="22"/>
  <c r="K7" i="22"/>
  <c r="J8" i="25"/>
  <c r="K8" i="25"/>
  <c r="J9" i="25"/>
  <c r="K9" i="25"/>
  <c r="I10" i="25"/>
  <c r="I6" i="22"/>
  <c r="I7" i="22" s="1"/>
  <c r="L9" i="21"/>
  <c r="D45" i="1" s="1"/>
  <c r="C14" i="6"/>
  <c r="E23" i="1" s="1"/>
  <c r="D19" i="1"/>
  <c r="E27" i="26" l="1"/>
  <c r="F29" i="1"/>
  <c r="F27" i="1" s="1"/>
  <c r="E84" i="1"/>
  <c r="E81" i="1" s="1"/>
  <c r="E40" i="1" s="1"/>
  <c r="I27" i="26"/>
  <c r="H27" i="26"/>
  <c r="H75" i="26"/>
  <c r="H51" i="26"/>
  <c r="E20" i="12"/>
  <c r="H29" i="1"/>
  <c r="J10" i="25"/>
  <c r="H29" i="2"/>
  <c r="H25" i="2" s="1"/>
  <c r="G25" i="2"/>
  <c r="F42" i="2"/>
  <c r="F37" i="2" s="1"/>
  <c r="I104" i="1"/>
  <c r="C12" i="12"/>
  <c r="K10" i="25"/>
  <c r="F52" i="19"/>
  <c r="F58" i="19" s="1"/>
  <c r="F33" i="19"/>
  <c r="F39" i="19" s="1"/>
  <c r="F43" i="1"/>
  <c r="D11" i="14"/>
  <c r="D16" i="14" s="1"/>
  <c r="E11" i="14"/>
  <c r="E16" i="14" s="1"/>
  <c r="C17" i="19"/>
  <c r="F17" i="19" s="1"/>
  <c r="F14" i="19" s="1"/>
  <c r="F20" i="19" s="1"/>
  <c r="E19" i="1"/>
  <c r="E12" i="1" s="1"/>
  <c r="E14" i="6"/>
  <c r="C10" i="6"/>
  <c r="C22" i="26"/>
  <c r="C12" i="18" l="1"/>
  <c r="F12" i="1"/>
  <c r="H12" i="1"/>
  <c r="H27" i="1"/>
  <c r="F29" i="2"/>
  <c r="F25" i="2" s="1"/>
  <c r="D29" i="1"/>
  <c r="D27" i="1" s="1"/>
  <c r="E104" i="1"/>
  <c r="C20" i="12"/>
  <c r="D65" i="26"/>
  <c r="D10" i="6"/>
  <c r="C18" i="6"/>
  <c r="C11" i="18" l="1"/>
  <c r="D12" i="1"/>
  <c r="C17" i="26"/>
  <c r="C41" i="26"/>
  <c r="F48" i="1"/>
  <c r="E10" i="6"/>
  <c r="E18" i="6" s="1"/>
  <c r="D18" i="6"/>
  <c r="D16" i="18"/>
  <c r="E11" i="18"/>
  <c r="E16" i="18" s="1"/>
  <c r="O59" i="19" l="1"/>
  <c r="C16" i="18"/>
  <c r="F41" i="1"/>
  <c r="C11" i="14"/>
  <c r="C16" i="14" s="1"/>
  <c r="D48" i="1" l="1"/>
  <c r="D47" i="1" s="1"/>
  <c r="D41" i="1" s="1"/>
  <c r="J8" i="39"/>
  <c r="K8" i="39" s="1"/>
  <c r="I18" i="39" l="1"/>
  <c r="D24" i="26" s="1"/>
  <c r="K16" i="39"/>
  <c r="J18" i="39"/>
  <c r="D48" i="26" s="1"/>
  <c r="G16" i="39"/>
  <c r="D13" i="26" l="1"/>
  <c r="D27" i="26" s="1"/>
  <c r="C24" i="26"/>
  <c r="C48" i="26"/>
  <c r="D37" i="26"/>
  <c r="K18" i="39"/>
  <c r="D72" i="26" s="1"/>
  <c r="H16" i="39"/>
  <c r="D81" i="1" l="1"/>
  <c r="C13" i="26"/>
  <c r="C27" i="26" s="1"/>
  <c r="S13" i="26"/>
  <c r="F24" i="2"/>
  <c r="F20" i="2" s="1"/>
  <c r="F19" i="2" s="1"/>
  <c r="F45" i="2" s="1"/>
  <c r="F46" i="2" s="1"/>
  <c r="D51" i="26"/>
  <c r="F84" i="1"/>
  <c r="C37" i="26"/>
  <c r="C51" i="26" s="1"/>
  <c r="G24" i="2"/>
  <c r="C72" i="26"/>
  <c r="D61" i="26"/>
  <c r="D40" i="1" l="1"/>
  <c r="D104" i="1" s="1"/>
  <c r="F8" i="2"/>
  <c r="D75" i="26"/>
  <c r="H84" i="1"/>
  <c r="H81" i="1" s="1"/>
  <c r="H40" i="1" s="1"/>
  <c r="C61" i="26"/>
  <c r="C75" i="26" s="1"/>
  <c r="H24" i="2"/>
  <c r="H20" i="2" s="1"/>
  <c r="H19" i="2" s="1"/>
  <c r="G20" i="2"/>
  <c r="G19" i="2" s="1"/>
  <c r="F81" i="1"/>
  <c r="F40" i="1" s="1"/>
  <c r="F104" i="1" l="1"/>
  <c r="H104" i="1"/>
  <c r="G8" i="2"/>
  <c r="G45" i="2"/>
  <c r="G46" i="2" s="1"/>
  <c r="H8" i="2"/>
  <c r="H45" i="2"/>
  <c r="H46" i="2" s="1"/>
  <c r="E13" i="6"/>
  <c r="K7" i="8"/>
  <c r="E7" i="8"/>
  <c r="C8" i="9" l="1"/>
  <c r="F8" i="9"/>
  <c r="C9" i="9"/>
  <c r="F9" i="9"/>
  <c r="C10" i="9"/>
  <c r="F10" i="9"/>
  <c r="C11" i="9"/>
  <c r="F11" i="9"/>
</calcChain>
</file>

<file path=xl/sharedStrings.xml><?xml version="1.0" encoding="utf-8"?>
<sst xmlns="http://schemas.openxmlformats.org/spreadsheetml/2006/main" count="3203" uniqueCount="595">
  <si>
    <t>Наименование показателя</t>
  </si>
  <si>
    <t>Код строки</t>
  </si>
  <si>
    <t>Код по бюджетной классификации Российской Федерации &lt;3&gt;</t>
  </si>
  <si>
    <t>Сумма, руб. (с точностью до двух знаков после запятой - 0,00)</t>
  </si>
  <si>
    <t>на 20__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</si>
  <si>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</si>
  <si>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</si>
  <si>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</si>
  <si>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</si>
  <si>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субсидии</t>
  </si>
  <si>
    <t>поступления от приносящей доход деятельности</t>
  </si>
  <si>
    <t>Остаток средств на начало текущего финансового года &lt;4&gt;</t>
  </si>
  <si>
    <t>х</t>
  </si>
  <si>
    <t>Остаток средств на конец текущего финансового года &lt;4&gt;</t>
  </si>
  <si>
    <t>Доходы, всего:</t>
  </si>
  <si>
    <t>в том числе:</t>
  </si>
  <si>
    <t>доходы от собственности, всего</t>
  </si>
  <si>
    <t>доходы, получаемые в виде арендной либо иной платы за передачу в возмездное пользование муниципального имущества</t>
  </si>
  <si>
    <t>доходы в виде процентов по депозитам автономных учреждений в кредитных организациях</t>
  </si>
  <si>
    <t>доходы в виде процентов по остаткам средств на счетах автономных учреждений в кредитных организациях</t>
  </si>
  <si>
    <t>доходы от оказания услуг, работ, компенсации затрат учреждений, всего</t>
  </si>
  <si>
    <t>субсидии на финансовое обеспечение выполнения муниципального задания</t>
  </si>
  <si>
    <t>доходы от оказания услуг, выполнения работ, за плату сверх установленного муниципального задания и иной приносящей доход деятельности, предусмотренной уставом учреждения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</si>
  <si>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</si>
  <si>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t>доходы от штрафов, пеней, иных сумм принудительного изъятия,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</si>
  <si>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</si>
  <si>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</si>
  <si>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</si>
  <si>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</si>
  <si>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 &lt;5&gt;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</si>
  <si>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</si>
  <si>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</si>
  <si>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</si>
  <si>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</si>
  <si>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</si>
  <si>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</si>
  <si>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</si>
  <si>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</si>
  <si>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</si>
  <si>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</si>
  <si>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</si>
  <si>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</si>
  <si>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</si>
  <si>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</si>
  <si>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</si>
  <si>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</si>
  <si>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</si>
  <si>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</si>
  <si>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</si>
  <si>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</si>
  <si>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</si>
  <si>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</si>
  <si>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</si>
  <si>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</si>
  <si>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</si>
  <si>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</si>
  <si>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</si>
  <si>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</si>
  <si>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&lt;6&gt;</t>
  </si>
  <si>
    <t>закупку научно-исследовательских и опытно-конструкторских работ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</si>
  <si>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</si>
  <si>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</si>
  <si>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</si>
  <si>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</si>
  <si>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&lt;7&gt;</t>
  </si>
  <si>
    <t>налог на прибыль &lt;7&gt;</t>
  </si>
  <si>
    <t>налог на добавленную стоимость &lt;7&gt;</t>
  </si>
  <si>
    <t>прочие налоги, уменьшающие доход &lt;7&gt;</t>
  </si>
  <si>
    <t>Прочие выплаты, всего &lt;8&gt;</t>
  </si>
  <si>
    <t>возврат в бюджет средств субсидии</t>
  </si>
  <si>
    <t>Раздел 1. Поступления и выплаты</t>
  </si>
  <si>
    <t>N п/п</t>
  </si>
  <si>
    <t>Коды строк</t>
  </si>
  <si>
    <t>Год начала закупки</t>
  </si>
  <si>
    <t>Сумма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</si>
  <si>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</si>
  <si>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</si>
  <si>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</si>
  <si>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 &lt;10&gt;</t>
  </si>
  <si>
    <t>по контрактам (договорам), заключенным до начала текущего финансового года без применения норм Федерального закона от 05.04.2013 N 44-ФЗ "О контрактной системе в сфере закупок товаров, работ, услуг для обеспечения государственных и муниципальных нужд" (далее - Федеральный закон N 44-ФЗ) и Федерального закона от 18.07.2011 N 223-ФЗ "О закупках товаров, работ, услуг отдельными видами юридических лиц" (далее - Федеральный закон N 223-ФЗ) &lt;11&gt;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</si>
  <si>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&lt;11&gt;</t>
  </si>
  <si>
    <t>по контрактам (договорам), заключенным до начала текущего финансового года с учетом требований:</t>
  </si>
  <si>
    <t>в соответствии с Федеральным законом N 44-ФЗ</t>
  </si>
  <si>
    <t>в соответствии с Федеральным законом N 223-ФЗ &lt;12&gt;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</si>
  <si>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&lt;12&gt;</t>
  </si>
  <si>
    <t>за счет субсидий, предоставляемых на финансовое обеспечение выполнения государственного (муниципального) задания</t>
  </si>
  <si>
    <t>1.4.1.1</t>
  </si>
  <si>
    <t>1.4.1.2</t>
  </si>
  <si>
    <t>в соответствии с Федеральным законом N 223-ФЗ &lt;13&gt;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</si>
  <si>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</si>
  <si>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</si>
  <si>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</si>
  <si>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за счет субсидий, предоставляемых на осуществление капитальных вложений &lt;14&gt;</t>
  </si>
  <si>
    <t>За счет средств обязательного медицинского страхования</t>
  </si>
  <si>
    <t>1.4.4.1</t>
  </si>
  <si>
    <t>1.4.4.2</t>
  </si>
  <si>
    <t>в соответствии с Федеральным законом N 223-ФЗ</t>
  </si>
  <si>
    <t>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</si>
  <si>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</si>
  <si>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</si>
  <si>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&lt;15&gt;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</si>
  <si>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</si>
  <si>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</si>
  <si>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Раздел 2. Сведения по выплатам на закупки товаров, работ, услуг</t>
  </si>
  <si>
    <t>.1.1</t>
  </si>
  <si>
    <t>1.2</t>
  </si>
  <si>
    <t>1.3</t>
  </si>
  <si>
    <t>1.3.1.</t>
  </si>
  <si>
    <t>1.3.2</t>
  </si>
  <si>
    <t>1.4</t>
  </si>
  <si>
    <t>1.4.1</t>
  </si>
  <si>
    <t>1.4.2</t>
  </si>
  <si>
    <t>1.4.3</t>
  </si>
  <si>
    <t>1.4.4</t>
  </si>
  <si>
    <t>1.4.5</t>
  </si>
  <si>
    <t>Сумма, руб.</t>
  </si>
  <si>
    <t>Задолженность по доходам (дебиторская задолженность по доходам) на начало года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</si>
  <si>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</si>
  <si>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Доходы от собственности, всего</t>
  </si>
  <si>
    <t>плата по соглашениям об установлении сервитута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</si>
  <si>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</si>
  <si>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</si>
  <si>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</si>
  <si>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доходы от распоряжения правами на результаты интеллектуальной деятельности и средствами индивидуализации</t>
  </si>
  <si>
    <t>прочие поступления от использования имущества, находящегося в оперативном управлении учреждения</t>
  </si>
  <si>
    <t>Задолженность по доходам (дебиторская задолженность по доходам) на конец года</t>
  </si>
  <si>
    <t>Полученные предварительные платежи (авансы) по контрактам (договорам) (кредиторская задолженность по доходам) на конец года</t>
  </si>
  <si>
    <t>Планируемые поступления доходов от собственности (с. 0100 - с. 0200 + с. 0300 - с. 0400 + с. 0500)</t>
  </si>
  <si>
    <t>Наименование объекта</t>
  </si>
  <si>
    <t>Плата (тариф) арендной платы за единицу площади (объект), руб.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</si>
  <si>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</si>
  <si>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</si>
  <si>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Недвижимое имущество, всего</t>
  </si>
  <si>
    <t>в том числе</t>
  </si>
  <si>
    <t>Движимое имущество, всего</t>
  </si>
  <si>
    <t>Итого</t>
  </si>
  <si>
    <t>3.1.2. Расчет доходов в виде арендной либо иной платы за передачу в возмездное пользование муниципального имущества.</t>
  </si>
  <si>
    <t>3.1.1. Обоснование (расчет) плановых показателей поступлений доходов по статье 120 "Доходы от собственности".</t>
  </si>
  <si>
    <t>Среднегодовой объем средств, на которые начисляются проценты, руб.</t>
  </si>
  <si>
    <t>Ставка размещения, %</t>
  </si>
  <si>
    <t>Сумма доходов в виде процентов, руб.</t>
  </si>
  <si>
    <t>Договор 1</t>
  </si>
  <si>
    <t>Договор 2</t>
  </si>
  <si>
    <t>3.1.3. Расчет доходов в виде процентов по депозитам автономных учреждений в кредитных организациях.</t>
  </si>
  <si>
    <t>3.1. Обоснование (расчет) плановых показателей поступлений доходов по статье 120 "Доходы от собственности".</t>
  </si>
  <si>
    <t>Раздел 3. Обоснования (расчеты) плановых показателей поступлений и выплат</t>
  </si>
  <si>
    <t>Доходы от оказания услуг, работ, компенсации затрат учреждений, всего</t>
  </si>
  <si>
    <t>Планируемые поступления доходов от оказания услуг, компенсации затрат учреждения (с. 0100 - с. 0200 + с. 0300 - с. 0400 + с. 0500)</t>
  </si>
  <si>
    <t>3.2.1. Обоснование (расчет) плановых показателей поступлений доходов по статье 130 "Доходы от оказания услуг, работ, компенсации затрат учреждений".</t>
  </si>
  <si>
    <t>3.2. Обоснование (расчет) плановых показателей поступлений доходов по статье 130 "Доходы от оказания услуг, работ, компенсации затрат учреждений".</t>
  </si>
  <si>
    <t>Плата (тариф) за единицу услуги (работы), руб.</t>
  </si>
  <si>
    <t>Планируемый объем оказания услуг (выполнения работ)</t>
  </si>
  <si>
    <t>Общий объем планируемых поступлений, руб.</t>
  </si>
  <si>
    <t>3.2.2. Расчет доходов в виде субсидии на финансовое обеспечение выполнения муниципального задания.</t>
  </si>
  <si>
    <t>3.2.3. Расчет доходов от оказания услуг, выполнения работ в рамках установленного муниципального задания.</t>
  </si>
  <si>
    <t>3.2.4. Расчет доходов от оказания услуг, выполнения работ за плату сверх установленного муниципального задания и иной приносящей доход деятельности, предусмотренной уставом учреждения.</t>
  </si>
  <si>
    <t>Вид возмещаемых расходов</t>
  </si>
  <si>
    <t>Объем услуг, планируемый к возмещению</t>
  </si>
  <si>
    <t>3.2.5. Расчет доходов, поступающих в порядке возмещения расходов, понесенных в связи с эксплуатацией имущества, находящегося в оперативном управлении учреждения.</t>
  </si>
  <si>
    <t>Излишне полученные либо взысканные платежи (кредиторская задолженность по доходам) на начало года</t>
  </si>
  <si>
    <t>Доходы от штрафов, пеней, иных сумм принудительного изъятия, всего</t>
  </si>
  <si>
    <t>штрафы</t>
  </si>
  <si>
    <t>пени</t>
  </si>
  <si>
    <t>суммы принудительного изъятия</t>
  </si>
  <si>
    <t>Излишне полученные либо взысканные платежи (кредиторская задолженность по доходам) на конец года</t>
  </si>
  <si>
    <t>Планируемые поступления доходов от штрафов, пеней, иных сумм принудительного изъятия (с. 0100 - с. 0200 + с. 0300 - с. 0400 + с. 0500)</t>
  </si>
  <si>
    <t>3.3. Обоснование (расчет) плановых показателей поступлений доходов по статье 140 "Доходы от штрафов, пеней, иных сумм принудительного изъятия".</t>
  </si>
  <si>
    <t>3.3.1. Обоснование (расчет) плановых показателей поступлений доходов по статье 140 "Доходы от штрафов, пеней, иных сумм принудительного изъятия".</t>
  </si>
  <si>
    <t>Доходы от операций с активами, всего</t>
  </si>
  <si>
    <t>реализация неиспользуемого имущества</t>
  </si>
  <si>
    <t>реализация утиля, лома черных и цветных металлов</t>
  </si>
  <si>
    <t>3.5. Обоснование (расчет) плановых показателей поступлений доходов по статье "Доходы от операций с активами".</t>
  </si>
  <si>
    <t>3.5.1. Обоснование (расчет) плановых показателей поступлений доходов по статье "Доходы от операций с активами".</t>
  </si>
  <si>
    <t>Задолженность перед персоналом по оплате труда (кредиторская задолженность) на начало года</t>
  </si>
  <si>
    <t>Задолженность персонала по полученным авансам (дебиторская задолженность) на начало года</t>
  </si>
  <si>
    <t>Фонд оплаты труда</t>
  </si>
  <si>
    <t>Задолженность перед персоналом по оплате труда (кредиторская задолженность) на конец года</t>
  </si>
  <si>
    <t>Задолженность персонала по полученным авансам (дебиторская задолженность) на конец года</t>
  </si>
  <si>
    <t>Планируемые выплаты на оплату труда (с. 0100 - с. 0200 + с. 0300 - с. 0400 + с. 0500)</t>
  </si>
  <si>
    <t>3.6. Обоснование (расчет) плановых показателей по выплатам по оплате труда работников учреждения.</t>
  </si>
  <si>
    <t>3.6.1. Обоснование (расчет) плановых показателей по выплатам по элементу вида расходов классификации расходов бюджетов 111 "Фонд оплаты труда учреждений" (заполняется раздельно по источникам финансового обеспечения).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</si>
  <si>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</si>
  <si>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</si>
  <si>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</si>
  <si>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Фонд оплаты труда в год (гр. 3 x гр. 4 x 12)</t>
  </si>
  <si>
    <t>всего (гр. 5 + гр. 6 + гр. 7 + гр. 9 + гр. 11)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</si>
  <si>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</si>
  <si>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</si>
  <si>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</si>
  <si>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северная надбавка</t>
  </si>
  <si>
    <t>районный коэффициент</t>
  </si>
  <si>
    <t>%</t>
  </si>
  <si>
    <t>сумма (гр. 5 + гр. 6 + гр. 7) x гр. 8 / 100</t>
  </si>
  <si>
    <t>сумма (гр. 5 + гр. 6 + гр. 7) x гр. 10 / 100</t>
  </si>
  <si>
    <t>3.6.4. Расчет фонда оплаты труда на 20__ г. (первый год финансового плана) (заполняется раздельно по источникам финансового обеспечения).</t>
  </si>
  <si>
    <t>3.6.5. Расчет фонда оплаты труда на 20__ г. (второй год планового периода) (заполняется раздельно по источникам финансового обеспечения).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</si>
  <si>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</si>
  <si>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</si>
  <si>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</si>
  <si>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</si>
  <si>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конец года</t>
  </si>
  <si>
    <t>Планируемые выплаты на страховые взносы на обязательное социальное страхование (с. 0100 - с. 0200 + с. 0300 - с. 0400 + с. 0500)</t>
  </si>
  <si>
    <t>3.7. Обоснование (расчет) плановых показателей по выплатам на страховые взносы по обязательному социальному страхованию.</t>
  </si>
  <si>
    <t>3.7.1. Обоснование (расчет) плановых показателей по выплатам на страховые взносы по обязательному социальному страхованию (заполняется раздельно по источникам финансового обеспечения).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</si>
  <si>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</si>
  <si>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</si>
  <si>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</si>
  <si>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</si>
  <si>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</si>
  <si>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</si>
  <si>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</si>
  <si>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</si>
  <si>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</si>
  <si>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</si>
  <si>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____% &lt;*&gt;</t>
  </si>
  <si>
    <t>3.7.2. Расчет страховых взносов по обязательному социальному страхованию (заполняется раздельно по источникам финансового обеспечения).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</si>
  <si>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</si>
  <si>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</si>
  <si>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</si>
  <si>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дней, дн.</t>
  </si>
  <si>
    <t>3.8. Обоснование (расчет) плановых показателей по выплатам компенсационного характера персоналу, за исключением фонда оплаты труда.</t>
  </si>
  <si>
    <t>3.8.1. Обоснование (расчет) выплат персоналу при направлении в служебные командировки (заполняется раздельно по источникам финансового обеспечения).</t>
  </si>
  <si>
    <t>Численность работников, получающих пособие, чел.</t>
  </si>
  <si>
    <t>Количество выплат в год на одного работника, шт.</t>
  </si>
  <si>
    <t>Размер выплаты (пособия) в месяц, руб.</t>
  </si>
  <si>
    <t>3.8.2 Обоснование (расчет) выплат персоналу по уходу за ребенком.</t>
  </si>
  <si>
    <t>Размер одной выплаты, руб.</t>
  </si>
  <si>
    <t>Количество выплат в год</t>
  </si>
  <si>
    <t>Общая сумма выплат, руб.</t>
  </si>
  <si>
    <t>3.9. Обоснование (расчет) плановых показателей по выплатам на социальное обеспечение и иные выплаты населению.</t>
  </si>
  <si>
    <t>Налоговая база, руб.</t>
  </si>
  <si>
    <t>Ставка налога, %</t>
  </si>
  <si>
    <t>Сумма начисленного налога, подлежащего уплате, руб.</t>
  </si>
  <si>
    <t>3.10. Обоснование (расчет) плановых показателей по расходам на уплату налогов, сборов и иных платежей (заполняется раздельно по источникам финансового обеспечения).</t>
  </si>
  <si>
    <t>3.11. Обоснование (расчет) плановых показателей по расходам на безвозмездное перечисление организациям и физическим лицам (заполняется раздельно по источникам финансового обеспечения).</t>
  </si>
  <si>
    <t>3.12. Обоснование (расчет) плановых показателей по прочим расходам (кроме расходов на закупку товаров, работ и услуг) (заполняется раздельно по источникам финансового обеспечения).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</si>
  <si>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начало года</t>
  </si>
  <si>
    <t>Произведенные предварительные платежи (авансы) по контрактам (договорам) (дебиторская задолженность) на начало года</t>
  </si>
  <si>
    <t>Расходы на закупку товаров, работ и услуг, всего</t>
  </si>
  <si>
    <t>услуги связи</t>
  </si>
  <si>
    <t>транспортные услуги</t>
  </si>
  <si>
    <t>коммунальные услуги</t>
  </si>
  <si>
    <t>аренда имущества</t>
  </si>
  <si>
    <t>содержание имущества</t>
  </si>
  <si>
    <t>обязательное страхование</t>
  </si>
  <si>
    <t>повышение квалификации (профессиональная переподготовка)</t>
  </si>
  <si>
    <t>приобретение объектов движимого имущества</t>
  </si>
  <si>
    <t>приобретение материальных запасов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</si>
  <si>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конец года</t>
  </si>
  <si>
    <t>Произведенные предварительные платежи (авансы) по контрактам (договорам) (дебиторская задолженность) на конец года</t>
  </si>
  <si>
    <t>Планируемые выплаты на закупку товаров, работ и услуг (с. 0100 - с. 0200 + с. 0300 - с. 0400 + с. 0500)</t>
  </si>
  <si>
    <t>3.13. Обоснование (расчет) плановых показателей по расходам на закупки товаров, работ и услуг.</t>
  </si>
  <si>
    <t>3.13.1. Обоснование (расчет) плановых показателей по расходам на закупки товаров, работ и услуг.</t>
  </si>
  <si>
    <t>Количество номеров, ед.</t>
  </si>
  <si>
    <t>Количество платежей в год</t>
  </si>
  <si>
    <t>Стоимость за единицу, руб.</t>
  </si>
  <si>
    <t>3.13.2. Обоснование (расчет) плановых показателей по расходам на услуги связи.</t>
  </si>
  <si>
    <t>Количество услуг перевозки</t>
  </si>
  <si>
    <t>Цена услуги перевозки, руб.</t>
  </si>
  <si>
    <t>3.13.3. Обоснование (расчет) плановых показателей по расходам на транспортные услуги.</t>
  </si>
  <si>
    <t>Расчетное потребление ресурсов</t>
  </si>
  <si>
    <t>Тариф (с учетом НДС), руб.</t>
  </si>
  <si>
    <t>3.13.4. Обоснование (расчет) плановых показателей по расходам на коммунальные услуги.</t>
  </si>
  <si>
    <t>Арендуемая площадь (количество объектов), кв. м (ед.)</t>
  </si>
  <si>
    <t>Продолжительность аренды (месяц, день, час)</t>
  </si>
  <si>
    <t>Цена аренды в месяц (день, час), руб.</t>
  </si>
  <si>
    <t>3.13.5. Обоснование (расчет) плановых показателей по расходам на аренду имущества.</t>
  </si>
  <si>
    <t>Объект</t>
  </si>
  <si>
    <t>Количество работ (услуг)</t>
  </si>
  <si>
    <t>3.13.6. Обоснование (расчет) плановых показателей по расходам на содержание имущества.</t>
  </si>
  <si>
    <t>Количество застрахованных сотрудников, застрахованного имущества, чел. (ед.)</t>
  </si>
  <si>
    <t>Базовые ставки страховых тарифов с учетом поправочных коэффициентов к ним, руб.</t>
  </si>
  <si>
    <t>3.13.7. Обоснование (расчет) плановых показателей по расходам на обязательное страхование.</t>
  </si>
  <si>
    <t>Количество работников, направляемых на повышение квалификации (переподготовку), чел.</t>
  </si>
  <si>
    <t>Цена обучения одного работника, руб.</t>
  </si>
  <si>
    <t>3.13.8. Обоснование (расчет) плановых показателей по расходам на повышение квалификации (профессиональную переподготовку).</t>
  </si>
  <si>
    <t xml:space="preserve">доходы от оказания услуг, выполнения работ, в рамках установленного муниципального задания </t>
  </si>
  <si>
    <t>доходы от оказания услуг, выполнения работ за плату сверх установленного муниципального задания и иной приносящей доход деятельности, предусмотренной уставом учреждения:</t>
  </si>
  <si>
    <t>доходы от оказания услуг, выполнения работ в рамках установленного муниципального задания:                                    родительская плата</t>
  </si>
  <si>
    <t>местный бюджет</t>
  </si>
  <si>
    <t>краевой бюджет</t>
  </si>
  <si>
    <t>Пособие по уходу за ребенком</t>
  </si>
  <si>
    <t>Пособие по социальной помощи населению</t>
  </si>
  <si>
    <t>Госпошлина</t>
  </si>
  <si>
    <t>Госпошлина по суду</t>
  </si>
  <si>
    <t>Водоотведение 1 полугодие</t>
  </si>
  <si>
    <t>Водоотведение 2 полугодие</t>
  </si>
  <si>
    <t>Обслуживание пожарной сигнализации</t>
  </si>
  <si>
    <t>ВСЕГО</t>
  </si>
  <si>
    <t>Остатки прошлых лет</t>
  </si>
  <si>
    <t>Местный бюджет</t>
  </si>
  <si>
    <t>3.13.9. Обоснование (расчет) плановых показателей по расходам на оплату услуг и работ</t>
  </si>
  <si>
    <t>Количество договоров</t>
  </si>
  <si>
    <t>Стоимость, руб.</t>
  </si>
  <si>
    <t>3.13.10. Обоснование (расчет) плановых показателей по расходам на приобретение объектов движимого имущества</t>
  </si>
  <si>
    <t>Количество</t>
  </si>
  <si>
    <t>Средняя стоимость</t>
  </si>
  <si>
    <t>3.13.11. Обоснование (расчет) плановых показателей по расходам на приобретение материальных запасов</t>
  </si>
  <si>
    <t xml:space="preserve">оплата услуг и работ </t>
  </si>
  <si>
    <t>за счет субсидии</t>
  </si>
  <si>
    <t>за счет приносящей доход деятельности</t>
  </si>
  <si>
    <t>……………..(субвенция пед.персонал школа)</t>
  </si>
  <si>
    <t>ЭЦП</t>
  </si>
  <si>
    <t>Медицинский осмотр</t>
  </si>
  <si>
    <t>Руководитель муниципального учреждения               ________________________     _______________________</t>
  </si>
  <si>
    <t xml:space="preserve">                                                                                </t>
  </si>
  <si>
    <t>Главный бухгалтер учреждения                            ________________________     _______________________</t>
  </si>
  <si>
    <t xml:space="preserve">                                                </t>
  </si>
  <si>
    <t>Исполнитель                          ________________________     _______________________</t>
  </si>
  <si>
    <t>Телефон</t>
  </si>
  <si>
    <t>«____» ________ 20__г.</t>
  </si>
  <si>
    <t xml:space="preserve">    СОГЛАСОВАНО</t>
  </si>
  <si>
    <t>_______________________________________________________________________</t>
  </si>
  <si>
    <t xml:space="preserve">      (наименование должности уполномоченного лица органа-учредителя)</t>
  </si>
  <si>
    <t xml:space="preserve">      (подпись)                                           (расшифровка подписи)</t>
  </si>
  <si>
    <t xml:space="preserve">"__" __________ 20__ г.                                                  </t>
  </si>
  <si>
    <t>обслуживание кассового аппарата</t>
  </si>
  <si>
    <t>услуги по реагированию проникновения на территорию</t>
  </si>
  <si>
    <t xml:space="preserve">спецадежда для персонала </t>
  </si>
  <si>
    <t>Наименование зантий</t>
  </si>
  <si>
    <t>ИТОГО</t>
  </si>
  <si>
    <t>Продукты питания</t>
  </si>
  <si>
    <t>Пожертвование (остаток) 851</t>
  </si>
  <si>
    <t>на 2020г.</t>
  </si>
  <si>
    <t>на 2021 г.</t>
  </si>
  <si>
    <t>на 2022 г.</t>
  </si>
  <si>
    <t>на 2022г.</t>
  </si>
  <si>
    <t>Хоз товары</t>
  </si>
  <si>
    <t>Краевой бюджет ДОУ АУП  7408</t>
  </si>
  <si>
    <t>Местный бюджет ДОУ 8061</t>
  </si>
  <si>
    <t>групповые занятия "Логоритмика"</t>
  </si>
  <si>
    <t>групповые занятия "АБВГДейка"</t>
  </si>
  <si>
    <t>инд.занятия "Мастерилка"</t>
  </si>
  <si>
    <t>групповые занятия "Акробатика"</t>
  </si>
  <si>
    <t>групповые занятия "Дюймовочка"</t>
  </si>
  <si>
    <t>групповые занятия "Малышок"</t>
  </si>
  <si>
    <t>Воспитатель*</t>
  </si>
  <si>
    <t>Инструктор по физкультуре ДОУ*</t>
  </si>
  <si>
    <t>Музыкальный руководитель*</t>
  </si>
  <si>
    <t>Педагог-психолог* ДОУ</t>
  </si>
  <si>
    <t>Старший воспитатель*</t>
  </si>
  <si>
    <t>Учитель-логопед* ДОУ</t>
  </si>
  <si>
    <t>Замещение</t>
  </si>
  <si>
    <t>Стимулирующие пед.персоналу</t>
  </si>
  <si>
    <t>Повар</t>
  </si>
  <si>
    <t>Подсобный рабочий</t>
  </si>
  <si>
    <t>Кладовщик</t>
  </si>
  <si>
    <t>Доплата до МРОТ</t>
  </si>
  <si>
    <t>Субвенция ДОУ АУП, УВП</t>
  </si>
  <si>
    <t>Заведующий</t>
  </si>
  <si>
    <t>Главный бухгалтер</t>
  </si>
  <si>
    <t>Бухгалтер</t>
  </si>
  <si>
    <t>Делопроизводитель</t>
  </si>
  <si>
    <t>Заместитель по АХР</t>
  </si>
  <si>
    <t>Младший воспитатель</t>
  </si>
  <si>
    <t>Реализация основных общеобразовательных программ дошк образ</t>
  </si>
  <si>
    <t>Реализация адаптированных образ программ</t>
  </si>
  <si>
    <t>Присмотр и уход (гр полного дня)</t>
  </si>
  <si>
    <t>Присмотр и уход (гр сокращ дня)</t>
  </si>
  <si>
    <t>Присмотр и уход (дети-инв)</t>
  </si>
  <si>
    <t>Присмотр и уход (дети-сироты)</t>
  </si>
  <si>
    <t>Присмотр и уход (гр кратковременного преб)</t>
  </si>
  <si>
    <t>Социальный педагог</t>
  </si>
  <si>
    <t>кастелянша</t>
  </si>
  <si>
    <t>контрактный управляющий</t>
  </si>
  <si>
    <t>Оплата в месяц</t>
  </si>
  <si>
    <t>Фонд оплаты труда в год (12 месяцев с января по май, с сентября по декабрь)</t>
  </si>
  <si>
    <t xml:space="preserve"> целевые субсидии</t>
  </si>
  <si>
    <t>денежное довольствие военнослужащих и сотрудников, имеющихспециальные звания, зависящие от размера денежного довольствия</t>
  </si>
  <si>
    <t>расходы на выплаты военнослужащим и сотрудникам, имеющи, хспециальные звания, зависящие от размера денежного довольствия</t>
  </si>
  <si>
    <t>иные выплаты военнослужищим и сотрудникам, имеющим специальные звания</t>
  </si>
  <si>
    <t>иные выплаты населению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</si>
  <si>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</si>
  <si>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</si>
  <si>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 xml:space="preserve">Местный бюджет ДОУ </t>
  </si>
  <si>
    <t>0701.</t>
  </si>
  <si>
    <t>021008061.</t>
  </si>
  <si>
    <t xml:space="preserve">Местный бюджет  ДОУ </t>
  </si>
  <si>
    <t xml:space="preserve">Суб ДОУ пед.персонал  </t>
  </si>
  <si>
    <t>021007588.</t>
  </si>
  <si>
    <t>021007408.</t>
  </si>
  <si>
    <t xml:space="preserve">Остатки прошлых лет </t>
  </si>
  <si>
    <t>4200099855.</t>
  </si>
  <si>
    <t>Компьютерная техника</t>
  </si>
  <si>
    <t>4200099853.</t>
  </si>
  <si>
    <t xml:space="preserve">Платные услуги </t>
  </si>
  <si>
    <t>Орг техника</t>
  </si>
  <si>
    <t>Платные услуги (остаток)</t>
  </si>
  <si>
    <t xml:space="preserve">Субвенция ДОУ АУП </t>
  </si>
  <si>
    <t>4200099849.</t>
  </si>
  <si>
    <t>Краевая суб на питание</t>
  </si>
  <si>
    <t>021007544.</t>
  </si>
  <si>
    <t>Родит плата (остаток)</t>
  </si>
  <si>
    <t>Родительская плата</t>
  </si>
  <si>
    <t>4200099851.</t>
  </si>
  <si>
    <t>телефон (за счет субвенции пед.персонал ДОУ) 0701 02100 7588 621</t>
  </si>
  <si>
    <t>(АУП краевой бюджет ДОУ)  0701 021007408 621</t>
  </si>
  <si>
    <t xml:space="preserve">Местный бюджет ДОУ                      0701 021008061 621                </t>
  </si>
  <si>
    <t>Субвенция ДОУ  пед.персонал 0701 021007588 621</t>
  </si>
  <si>
    <t>Иная цель краевая субвенция     1003 021007544 622</t>
  </si>
  <si>
    <t>Иная цель краевая субвенция      0701 021007588 622</t>
  </si>
  <si>
    <t>Краевой бюджет ДОУ АУП          0701 021007408 621</t>
  </si>
  <si>
    <t>Платные                 0701 4200099853</t>
  </si>
  <si>
    <t>Платные (остаток)                 0701 4200099853</t>
  </si>
  <si>
    <t>Род плата                 0701 4200099849</t>
  </si>
  <si>
    <t>Род плата (остаток)                 0701 4200099849</t>
  </si>
  <si>
    <t>Остаток прошлых лет                 0701 4200099855</t>
  </si>
  <si>
    <t>Пожертвование (остаток)                 0701 4200099851</t>
  </si>
  <si>
    <t xml:space="preserve">Краевая субвенция ДОУ </t>
  </si>
  <si>
    <t>на 2023 г.</t>
  </si>
  <si>
    <t>без 26302</t>
  </si>
  <si>
    <t>закупка энергетических ресурсов</t>
  </si>
  <si>
    <t>Ткаченко Н.Н.</t>
  </si>
  <si>
    <t>Сметанина Е.Н.</t>
  </si>
  <si>
    <t>Питание (родительская плата)</t>
  </si>
  <si>
    <t>Местный бюджет  ДОУ (ИЦ)</t>
  </si>
  <si>
    <t xml:space="preserve">3.6.3. Расчет фонда оплаты труда на 2024 г. (текущий финансовый год) </t>
  </si>
  <si>
    <t>на 2024г.</t>
  </si>
  <si>
    <t>на 2024 г.</t>
  </si>
  <si>
    <t>индивидуальная консультация логопеда</t>
  </si>
  <si>
    <t>Услуги логопеда (коррекция нарушений речевой деятельности)</t>
  </si>
  <si>
    <t>Диагностика логопеда  (обследование речевого развития ребенка)</t>
  </si>
  <si>
    <t>Студия танцевально-игровой гимнастики «Капелька»</t>
  </si>
  <si>
    <t>ТКО 1 полугодие</t>
  </si>
  <si>
    <t>ТКО 2 полугодие</t>
  </si>
  <si>
    <t xml:space="preserve">Жилеты </t>
  </si>
  <si>
    <t xml:space="preserve">Местный бюджет ДОУ  (иная цель)                    0701 1210086700              </t>
  </si>
  <si>
    <t>Монтаж и пуско-наладочный работы системы контроля за протечкой воды</t>
  </si>
  <si>
    <t>Психологическое обследование сотрудников</t>
  </si>
  <si>
    <t>Испытание мед оборудования</t>
  </si>
  <si>
    <t>Огнезащитная обработка</t>
  </si>
  <si>
    <t>Местный бюджет  ДОУ</t>
  </si>
  <si>
    <t>Испытание пож лестниц</t>
  </si>
  <si>
    <t>Безвозмездные денежные пступления, всего</t>
  </si>
  <si>
    <t>Безвозмездные денежные поступления, всего</t>
  </si>
  <si>
    <t>3.4. Обоснование (расчет) плановых показателей поступлений доходов по статье 150 "Безвозмездные денежные поступления".</t>
  </si>
  <si>
    <t>3.4.1. Обоснование (расчет) плановых показателей поступлений доходов по статье 150 "Безвозмездные денежные поступления".</t>
  </si>
  <si>
    <t>Мебель</t>
  </si>
  <si>
    <t>Ковры</t>
  </si>
  <si>
    <t>Игрушки</t>
  </si>
  <si>
    <t>Краевой  бюджет  ДОУ</t>
  </si>
  <si>
    <t>02100S7450</t>
  </si>
  <si>
    <t>Ремонт здания</t>
  </si>
  <si>
    <t>Местный бюджет  ДОУ ИЦ</t>
  </si>
  <si>
    <t xml:space="preserve">Краевой бюджет ДОУ АУП  </t>
  </si>
  <si>
    <t>Работы по пожарной сигнализации</t>
  </si>
  <si>
    <t xml:space="preserve">Местный бюджет ДОУ  (иная цель)        0701 0210080610                                </t>
  </si>
  <si>
    <t>Лего-конструирование</t>
  </si>
  <si>
    <t>Стимулирующий ФОТ заведующего 21,5 оклада в год</t>
  </si>
  <si>
    <t>Стимулирующие прочие</t>
  </si>
  <si>
    <t xml:space="preserve">3.6.3. Расчет фонда оплаты труда на 2025 г. (текущий финансовый год) </t>
  </si>
  <si>
    <t>на 2025 г.</t>
  </si>
  <si>
    <t>на 2024 год</t>
  </si>
  <si>
    <t>на 2025г.</t>
  </si>
  <si>
    <t>Энергосервисный договор (тепловая энергия) гкал 1 полугодие</t>
  </si>
  <si>
    <t>Энергосервисный договор (договор по электроснабжению) гкал 1 полугодие</t>
  </si>
  <si>
    <t>Компонент на Тепловую энергию 1 полугодие (247), Гкал</t>
  </si>
  <si>
    <t>Компонент на Тепловую энергию 2 полугодие (247), Гкал</t>
  </si>
  <si>
    <t>Компонент на теплоноситель, 1 полугодие, м3</t>
  </si>
  <si>
    <t>Компонент на теплоноситель, 2 полугодие, м3</t>
  </si>
  <si>
    <t>Компонент на Тепловую энергию (горячая вода) 1 полугодие (247), Гкал</t>
  </si>
  <si>
    <t>Компонент на Тепловую энергию (горячая вода) 2 полугодие (247), Гкал</t>
  </si>
  <si>
    <t>Питьевая вода 1 полугодие</t>
  </si>
  <si>
    <t>Электроэнергия 2 полугодие (247)</t>
  </si>
  <si>
    <t>Электроэнергия 1 полугодие (247)</t>
  </si>
  <si>
    <t xml:space="preserve">по смете </t>
  </si>
  <si>
    <t>группа присмотра и ухода "Малышок"</t>
  </si>
  <si>
    <t>повыш коэф</t>
  </si>
  <si>
    <t>оклад</t>
  </si>
  <si>
    <t>с/к+р/н</t>
  </si>
  <si>
    <t>компл к авт  отк воротам</t>
  </si>
  <si>
    <t>товары сантехн назначеия</t>
  </si>
  <si>
    <t>шторы</t>
  </si>
  <si>
    <t>мебель</t>
  </si>
  <si>
    <t>ковры</t>
  </si>
  <si>
    <t>швейные принадлежности</t>
  </si>
  <si>
    <t>Дополнительное обр</t>
  </si>
  <si>
    <t>0703.</t>
  </si>
  <si>
    <t>02100S5680</t>
  </si>
  <si>
    <t>канцелярия</t>
  </si>
  <si>
    <t>Дополнительное образование</t>
  </si>
  <si>
    <t>624.</t>
  </si>
  <si>
    <t>Педагог доп образ</t>
  </si>
  <si>
    <t>Стимулирующие</t>
  </si>
  <si>
    <t>Доп образ Краевые 0703 02100S5680</t>
  </si>
  <si>
    <t>Доп образ Краевые 0703 02100S5680 (софин)</t>
  </si>
  <si>
    <t>0001</t>
  </si>
  <si>
    <t>0002</t>
  </si>
  <si>
    <t>0003</t>
  </si>
  <si>
    <t>Код бюджетной классификации РФ &lt;10.1&gt;</t>
  </si>
  <si>
    <t>4.1.</t>
  </si>
  <si>
    <t>из них &lt;9.1&gt;</t>
  </si>
  <si>
    <t>26310.1</t>
  </si>
  <si>
    <t>из них &lt;9.2&gt;</t>
  </si>
  <si>
    <t>26310.2</t>
  </si>
  <si>
    <t>из них &lt;10.1&gt;</t>
  </si>
  <si>
    <t>26421.1</t>
  </si>
  <si>
    <t>26430.1</t>
  </si>
  <si>
    <t>26430.2</t>
  </si>
  <si>
    <t>26451.1</t>
  </si>
  <si>
    <t>26451.2</t>
  </si>
  <si>
    <t>0100</t>
  </si>
  <si>
    <t>0200</t>
  </si>
  <si>
    <t>0300</t>
  </si>
  <si>
    <t>0310</t>
  </si>
  <si>
    <t>0320</t>
  </si>
  <si>
    <t>0330</t>
  </si>
  <si>
    <t>0340</t>
  </si>
  <si>
    <t>0400</t>
  </si>
  <si>
    <t>0500</t>
  </si>
  <si>
    <t>0600</t>
  </si>
  <si>
    <t>0004</t>
  </si>
  <si>
    <t>0005</t>
  </si>
  <si>
    <t>0006</t>
  </si>
  <si>
    <t>0007</t>
  </si>
  <si>
    <t>0008</t>
  </si>
  <si>
    <t>0009</t>
  </si>
  <si>
    <t>0010</t>
  </si>
  <si>
    <t>0011</t>
  </si>
  <si>
    <t>0110</t>
  </si>
  <si>
    <t>0130</t>
  </si>
  <si>
    <t>0210</t>
  </si>
  <si>
    <t>0220</t>
  </si>
  <si>
    <t>0230</t>
  </si>
  <si>
    <t>0240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</si>
  <si>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</si>
  <si>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</si>
  <si>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</si>
  <si>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</si>
  <si>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</si>
  <si>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</si>
  <si>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</si>
  <si>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</si>
  <si>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</si>
  <si>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0012</t>
  </si>
  <si>
    <t>0013</t>
  </si>
  <si>
    <t>0014</t>
  </si>
  <si>
    <t>0015</t>
  </si>
  <si>
    <t>0016</t>
  </si>
  <si>
    <t>0017</t>
  </si>
  <si>
    <t>0018</t>
  </si>
  <si>
    <t>.0210080650</t>
  </si>
  <si>
    <t>Дератизация помещений</t>
  </si>
  <si>
    <t>Поверка весов,медицинского измерительного инструмента</t>
  </si>
  <si>
    <t>Тех.обслуживание тревожной кнопки</t>
  </si>
  <si>
    <t>Замеры сопротивления изоляции</t>
  </si>
  <si>
    <t xml:space="preserve">Техническое обслуживание прачечного и оборудование пищеблока </t>
  </si>
  <si>
    <t>Обслуживание автоматических ворот</t>
  </si>
  <si>
    <t>Обслуживание видеонаблюдения</t>
  </si>
  <si>
    <t>Обслуживание кондиционеров</t>
  </si>
  <si>
    <t>Испытания пожарных кранов и огнезащитной обработки веранды</t>
  </si>
  <si>
    <t>обслуживание  системы периметрального видионаблюдения</t>
  </si>
  <si>
    <t xml:space="preserve">Заправка огнетушителей </t>
  </si>
  <si>
    <t xml:space="preserve">Дублирование сигнала о пожаре </t>
  </si>
  <si>
    <t>техническое обслуживание узла учета тепловой энергии и расхода горячей воды</t>
  </si>
  <si>
    <t>испытания средст защиты</t>
  </si>
  <si>
    <t xml:space="preserve"> вывоз веток и листвы </t>
  </si>
  <si>
    <t xml:space="preserve">инженерные сети </t>
  </si>
  <si>
    <t>акарицыдная (противоклещевая Обработка территории</t>
  </si>
  <si>
    <t>Услуги по обслуживанию сайта</t>
  </si>
  <si>
    <t>Гигиенич.аттестация работников</t>
  </si>
  <si>
    <t>Микробиологические исследования (1 раз в квартал)</t>
  </si>
  <si>
    <t xml:space="preserve">Опубликация отчета в газете </t>
  </si>
  <si>
    <t>Услуги охраны (тревожная кнопка)</t>
  </si>
  <si>
    <t>оказания услуг по реагированию трев.сигн</t>
  </si>
  <si>
    <t>Инструментальные замеры физ.факторов</t>
  </si>
  <si>
    <t>1                                  с</t>
  </si>
  <si>
    <t>изготовление подписи</t>
  </si>
  <si>
    <t xml:space="preserve">Гигиеническая аттестация педагогических работников </t>
  </si>
  <si>
    <t>Медицинский осмотр педагогических работников</t>
  </si>
  <si>
    <t xml:space="preserve">Подписка для педагогических работников </t>
  </si>
  <si>
    <t>обучение по электрике</t>
  </si>
  <si>
    <t>Гигиеническая аттестация административно- управленческого персонала</t>
  </si>
  <si>
    <t>Медицинский осмотр административно- управленческого персонала</t>
  </si>
  <si>
    <t>Обучение по электохозяйству, теплохозяйству</t>
  </si>
  <si>
    <t>Моющие и дез.средства</t>
  </si>
  <si>
    <t>Посуда, кухонный инвентарь</t>
  </si>
  <si>
    <t>Строительные материалы</t>
  </si>
  <si>
    <t>Сантехника</t>
  </si>
  <si>
    <t>Электрооборудование</t>
  </si>
  <si>
    <t>Хозяйственный инвентарь</t>
  </si>
  <si>
    <t>Мягкий инвентарь</t>
  </si>
  <si>
    <t>Швейные принадлежности</t>
  </si>
  <si>
    <t xml:space="preserve">Медикаменты медицинские изделия </t>
  </si>
  <si>
    <t>Песок</t>
  </si>
  <si>
    <t>спецодежда для воспитателей</t>
  </si>
  <si>
    <t>Учебные пособия, журналы</t>
  </si>
  <si>
    <t xml:space="preserve">Канцелярские принадлежности </t>
  </si>
  <si>
    <t xml:space="preserve">Катрижды ,тонеры </t>
  </si>
  <si>
    <t>на 5 мес</t>
  </si>
  <si>
    <t>на 2026 г.</t>
  </si>
  <si>
    <t xml:space="preserve">3.6.3. Расчет фонда оплаты труда на 2026 г. (текущий финансовый год) </t>
  </si>
  <si>
    <t>на 2025 год</t>
  </si>
  <si>
    <t>на 2026 год</t>
  </si>
  <si>
    <t>на 2026г.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</si>
</sst>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2" fillId="0" borderId="0"/>
    <xf numFmtId="0" fontId="13" fillId="0" borderId="0"/>
  </cellStyleXfs>
  <cellXfs count="291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1" xfId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8" fillId="0" borderId="1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0" fillId="0" borderId="0" xfId="0" applyNumberFormat="1" applyFont="1"/>
    <xf numFmtId="4" fontId="2" fillId="3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 wrapText="1"/>
    </xf>
    <xf numFmtId="0" fontId="10" fillId="3" borderId="0" xfId="0" applyFont="1" applyFill="1"/>
    <xf numFmtId="0" fontId="10" fillId="3" borderId="0" xfId="0" applyFont="1" applyFill="1" applyAlignment="1">
      <alignment vertical="top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6" fillId="3" borderId="5" xfId="0" applyNumberFormat="1" applyFont="1" applyFill="1" applyBorder="1" applyAlignment="1">
      <alignment vertical="center" wrapText="1"/>
    </xf>
    <xf numFmtId="4" fontId="6" fillId="3" borderId="6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0" fontId="2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vertical="center" wrapText="1"/>
    </xf>
    <xf numFmtId="2" fontId="17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22" fillId="2" borderId="1" xfId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4" fillId="0" borderId="0" xfId="0" applyFont="1" applyAlignment="1">
      <alignment horizontal="left" wrapText="1"/>
    </xf>
    <xf numFmtId="2" fontId="6" fillId="0" borderId="1" xfId="0" applyNumberFormat="1" applyFont="1" applyBorder="1" applyAlignment="1">
      <alignment horizontal="right" vertical="center" wrapText="1"/>
    </xf>
    <xf numFmtId="0" fontId="16" fillId="3" borderId="0" xfId="0" applyFont="1" applyFill="1"/>
    <xf numFmtId="2" fontId="6" fillId="3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wrapText="1"/>
    </xf>
    <xf numFmtId="0" fontId="24" fillId="0" borderId="1" xfId="0" applyFont="1" applyBorder="1" applyAlignment="1">
      <alignment vertical="center" wrapText="1"/>
    </xf>
    <xf numFmtId="4" fontId="24" fillId="0" borderId="1" xfId="0" applyNumberFormat="1" applyFont="1" applyBorder="1" applyAlignment="1">
      <alignment vertical="center" wrapText="1"/>
    </xf>
    <xf numFmtId="4" fontId="24" fillId="4" borderId="1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right" vertical="center" wrapText="1"/>
    </xf>
    <xf numFmtId="4" fontId="24" fillId="0" borderId="0" xfId="0" applyNumberFormat="1" applyFont="1"/>
    <xf numFmtId="0" fontId="24" fillId="0" borderId="1" xfId="0" applyFont="1" applyBorder="1" applyAlignment="1">
      <alignment wrapText="1"/>
    </xf>
    <xf numFmtId="0" fontId="24" fillId="0" borderId="1" xfId="0" applyFont="1" applyBorder="1"/>
    <xf numFmtId="4" fontId="24" fillId="0" borderId="1" xfId="0" applyNumberFormat="1" applyFont="1" applyBorder="1"/>
    <xf numFmtId="0" fontId="14" fillId="0" borderId="4" xfId="0" applyFont="1" applyBorder="1" applyAlignment="1">
      <alignment horizontal="left" wrapText="1"/>
    </xf>
    <xf numFmtId="4" fontId="4" fillId="0" borderId="0" xfId="0" applyNumberFormat="1" applyFont="1"/>
    <xf numFmtId="0" fontId="10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5" borderId="1" xfId="0" applyNumberFormat="1" applyFont="1" applyFill="1" applyBorder="1" applyAlignment="1">
      <alignment vertical="center" wrapText="1"/>
    </xf>
    <xf numFmtId="2" fontId="24" fillId="0" borderId="1" xfId="0" applyNumberFormat="1" applyFont="1" applyBorder="1" applyAlignment="1">
      <alignment wrapText="1"/>
    </xf>
    <xf numFmtId="2" fontId="24" fillId="0" borderId="1" xfId="0" applyNumberFormat="1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" fontId="17" fillId="3" borderId="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4" fillId="3" borderId="1" xfId="0" applyFont="1" applyFill="1" applyBorder="1"/>
    <xf numFmtId="0" fontId="1" fillId="0" borderId="1" xfId="0" applyFont="1" applyBorder="1"/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0" fontId="24" fillId="3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wrapText="1"/>
    </xf>
    <xf numFmtId="1" fontId="6" fillId="3" borderId="1" xfId="0" applyNumberFormat="1" applyFont="1" applyFill="1" applyBorder="1" applyAlignment="1">
      <alignment vertical="center" wrapText="1"/>
    </xf>
    <xf numFmtId="0" fontId="24" fillId="3" borderId="1" xfId="0" applyFont="1" applyFill="1" applyBorder="1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4" xfId="0" applyFont="1" applyFill="1" applyBorder="1" applyAlignment="1">
      <alignment wrapText="1"/>
    </xf>
    <xf numFmtId="4" fontId="24" fillId="2" borderId="1" xfId="0" applyNumberFormat="1" applyFont="1" applyFill="1" applyBorder="1" applyAlignment="1">
      <alignment vertical="center" wrapText="1"/>
    </xf>
    <xf numFmtId="0" fontId="24" fillId="2" borderId="0" xfId="0" applyFont="1" applyFill="1"/>
    <xf numFmtId="0" fontId="1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24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24" fillId="3" borderId="0" xfId="0" applyFont="1" applyFill="1"/>
    <xf numFmtId="0" fontId="24" fillId="3" borderId="1" xfId="0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vertical="center" wrapText="1"/>
    </xf>
    <xf numFmtId="164" fontId="24" fillId="3" borderId="1" xfId="0" applyNumberFormat="1" applyFont="1" applyFill="1" applyBorder="1" applyAlignment="1">
      <alignment vertical="center" wrapText="1"/>
    </xf>
    <xf numFmtId="4" fontId="24" fillId="3" borderId="0" xfId="0" applyNumberFormat="1" applyFont="1" applyFill="1" applyAlignment="1">
      <alignment vertical="center" wrapText="1"/>
    </xf>
    <xf numFmtId="2" fontId="24" fillId="3" borderId="1" xfId="0" applyNumberFormat="1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horizontal="right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vertical="center" wrapText="1"/>
    </xf>
    <xf numFmtId="0" fontId="23" fillId="3" borderId="0" xfId="0" applyFont="1" applyFill="1"/>
    <xf numFmtId="4" fontId="24" fillId="3" borderId="0" xfId="0" applyNumberFormat="1" applyFont="1" applyFill="1"/>
    <xf numFmtId="2" fontId="24" fillId="3" borderId="1" xfId="0" applyNumberFormat="1" applyFont="1" applyFill="1" applyBorder="1" applyAlignment="1">
      <alignment wrapText="1"/>
    </xf>
    <xf numFmtId="2" fontId="24" fillId="3" borderId="1" xfId="0" applyNumberFormat="1" applyFont="1" applyFill="1" applyBorder="1"/>
    <xf numFmtId="0" fontId="1" fillId="3" borderId="0" xfId="0" applyFont="1" applyFill="1" applyAlignment="1">
      <alignment wrapText="1"/>
    </xf>
    <xf numFmtId="4" fontId="24" fillId="3" borderId="1" xfId="0" applyNumberFormat="1" applyFont="1" applyFill="1" applyBorder="1"/>
    <xf numFmtId="0" fontId="23" fillId="3" borderId="0" xfId="0" applyFont="1" applyFill="1" applyAlignment="1">
      <alignment horizontal="left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4" fontId="24" fillId="3" borderId="0" xfId="0" applyNumberFormat="1" applyFont="1" applyFill="1" applyBorder="1" applyAlignment="1">
      <alignment vertical="center" wrapText="1"/>
    </xf>
    <xf numFmtId="4" fontId="24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4" fontId="23" fillId="3" borderId="0" xfId="0" applyNumberFormat="1" applyFont="1" applyFill="1" applyBorder="1" applyAlignment="1">
      <alignment vertical="center" wrapText="1"/>
    </xf>
    <xf numFmtId="4" fontId="1" fillId="0" borderId="1" xfId="0" applyNumberFormat="1" applyFont="1" applyBorder="1"/>
    <xf numFmtId="0" fontId="27" fillId="0" borderId="1" xfId="0" applyFont="1" applyBorder="1" applyAlignment="1">
      <alignment horizontal="center" vertical="center" wrapText="1"/>
    </xf>
    <xf numFmtId="49" fontId="28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" fontId="24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wrapText="1"/>
    </xf>
    <xf numFmtId="4" fontId="10" fillId="3" borderId="1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10" fillId="3" borderId="1" xfId="0" applyFont="1" applyFill="1" applyBorder="1"/>
    <xf numFmtId="0" fontId="10" fillId="3" borderId="1" xfId="0" applyFont="1" applyFill="1" applyBorder="1" applyAlignment="1">
      <alignment vertical="distributed" wrapText="1"/>
    </xf>
    <xf numFmtId="164" fontId="10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" fontId="19" fillId="2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4" fontId="24" fillId="2" borderId="0" xfId="0" applyNumberFormat="1" applyFont="1" applyFill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0" fillId="0" borderId="6" xfId="0" applyNumberFormat="1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" fontId="10" fillId="4" borderId="5" xfId="0" applyNumberFormat="1" applyFont="1" applyFill="1" applyBorder="1" applyAlignment="1">
      <alignment vertical="center" wrapText="1"/>
    </xf>
    <xf numFmtId="4" fontId="10" fillId="4" borderId="6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24" fillId="3" borderId="1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3" borderId="0" xfId="0" applyFont="1" applyFill="1" applyAlignment="1">
      <alignment horizontal="left" wrapText="1"/>
    </xf>
    <xf numFmtId="0" fontId="2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3" fillId="0" borderId="0" xfId="0" applyFont="1" applyAlignment="1">
      <alignment horizontal="left" wrapText="1"/>
    </xf>
    <xf numFmtId="0" fontId="1" fillId="0" borderId="5" xfId="0" applyFont="1" applyBorder="1" applyAlignment="1"/>
    <xf numFmtId="0" fontId="0" fillId="0" borderId="6" xfId="0" applyBorder="1" applyAlignment="1"/>
    <xf numFmtId="4" fontId="19" fillId="3" borderId="5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horizontal="right" wrapText="1"/>
    </xf>
    <xf numFmtId="4" fontId="19" fillId="3" borderId="5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wrapText="1"/>
    </xf>
    <xf numFmtId="49" fontId="30" fillId="0" borderId="6" xfId="0" applyNumberFormat="1" applyFont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6" xfId="0" applyBorder="1"/>
    <xf numFmtId="0" fontId="0" fillId="3" borderId="6" xfId="0" applyFill="1" applyBorder="1" applyAlignment="1">
      <alignment horizontal="right" vertical="center" wrapText="1"/>
    </xf>
    <xf numFmtId="4" fontId="19" fillId="0" borderId="5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A700257297D7A859C030468B937B2DBD85E5EB9E60602AC230D6E9DC28482863625EFFB5D1534D768A4F99306AV1B3I" TargetMode="External"/><Relationship Id="rId3" Type="http://schemas.openxmlformats.org/officeDocument/2006/relationships/hyperlink" Target="consultantplus://offline/ref=A700257297D7A859C030468B937B2DBD85E4EF9A61612AC230D6E9DC28482863705EA7BBD15F557DD700DF65661BC70C92EDF194103DVEB9I" TargetMode="External"/><Relationship Id="rId7" Type="http://schemas.openxmlformats.org/officeDocument/2006/relationships/hyperlink" Target="consultantplus://offline/ref=A700257297D7A859C030468B937B2DBD85E5EB9C656B2AC230D6E9DC28482863625EFFB5D1534D768A4F99306AV1B3I" TargetMode="External"/><Relationship Id="rId2" Type="http://schemas.openxmlformats.org/officeDocument/2006/relationships/hyperlink" Target="consultantplus://offline/ref=A700257297D7A859C030468B937B2DBD85E5EB9C656B2AC230D6E9DC28482863625EFFB5D1534D768A4F99306AV1B3I" TargetMode="External"/><Relationship Id="rId1" Type="http://schemas.openxmlformats.org/officeDocument/2006/relationships/hyperlink" Target="consultantplus://offline/ref=A700257297D7A859C030468B937B2DBD85E5EB9C656B2AC230D6E9DC28482863625EFFB5D1534D768A4F99306AV1B3I" TargetMode="External"/><Relationship Id="rId6" Type="http://schemas.openxmlformats.org/officeDocument/2006/relationships/hyperlink" Target="consultantplus://offline/ref=A700257297D7A859C030468B937B2DBD85E5EB9E60602AC230D6E9DC28482863625EFFB5D1534D768A4F99306AV1B3I" TargetMode="External"/><Relationship Id="rId5" Type="http://schemas.openxmlformats.org/officeDocument/2006/relationships/hyperlink" Target="consultantplus://offline/ref=A700257297D7A859C030468B937B2DBD85E5EB9C656B2AC230D6E9DC28482863625EFFB5D1534D768A4F99306AV1B3I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consultantplus://offline/ref=A700257297D7A859C030468B937B2DBD85E5EB9C656B2AC230D6E9DC28482863625EFFB5D1534D768A4F99306AV1B3I" TargetMode="External"/><Relationship Id="rId9" Type="http://schemas.openxmlformats.org/officeDocument/2006/relationships/hyperlink" Target="consultantplus://offline/ref=A700257297D7A859C030468B937B2DBD85E5EB9E60602AC230D6E9DC28482863625EFFB5D1534D768A4F99306AV1B3I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04"/>
  <sheetViews>
    <sheetView workbookViewId="0">
      <selection activeCell="D45" sqref="D45"/>
    </sheetView>
  </sheetViews>
  <sheetFormatPr defaultRowHeight="12.75" x14ac:dyDescent="0.2"/>
  <cols>
    <col min="1" max="1" width="36.140625" style="19" customWidth="1"/>
    <col min="2" max="2" width="9.140625" style="19"/>
    <col min="3" max="3" width="10.28515625" style="19" customWidth="1"/>
    <col min="4" max="4" width="14.28515625" style="19" bestFit="1" customWidth="1"/>
    <col min="5" max="5" width="13.140625" style="19" bestFit="1" customWidth="1"/>
    <col min="6" max="6" width="14.28515625" style="19" bestFit="1" customWidth="1"/>
    <col min="7" max="7" width="13.42578125" style="19" customWidth="1"/>
    <col min="8" max="8" width="14.85546875" style="19" customWidth="1"/>
    <col min="9" max="11" width="13.42578125" style="19" customWidth="1"/>
    <col min="12" max="16384" width="9.140625" style="19"/>
  </cols>
  <sheetData>
    <row r="1" spans="1:11" ht="15.75" x14ac:dyDescent="0.25">
      <c r="A1" s="211" t="s">
        <v>70</v>
      </c>
      <c r="B1" s="211"/>
      <c r="C1" s="211"/>
      <c r="D1" s="211"/>
    </row>
    <row r="2" spans="1:11" ht="15.75" x14ac:dyDescent="0.25">
      <c r="A2" s="68"/>
      <c r="B2" s="68"/>
      <c r="C2" s="68"/>
      <c r="D2" s="68"/>
    </row>
    <row r="3" spans="1:11" ht="15.75" x14ac:dyDescent="0.25">
      <c r="A3" s="67"/>
      <c r="B3" s="67"/>
      <c r="C3" s="67"/>
      <c r="D3" s="67"/>
    </row>
    <row r="4" spans="1:11" ht="15.75" x14ac:dyDescent="0.2">
      <c r="A4" s="212" t="s">
        <v>0</v>
      </c>
      <c r="B4" s="212" t="s">
        <v>1</v>
      </c>
      <c r="C4" s="221" t="s">
        <v>2</v>
      </c>
      <c r="D4" s="222" t="s">
        <v>3</v>
      </c>
      <c r="E4" s="222"/>
      <c r="F4" s="222"/>
      <c r="G4" s="222"/>
      <c r="H4" s="222"/>
      <c r="I4" s="222"/>
      <c r="J4" s="222"/>
      <c r="K4" s="222"/>
    </row>
    <row r="5" spans="1:11" ht="15.75" customHeight="1" x14ac:dyDescent="0.2">
      <c r="A5" s="212"/>
      <c r="B5" s="212"/>
      <c r="C5" s="221"/>
      <c r="D5" s="222" t="s">
        <v>418</v>
      </c>
      <c r="E5" s="222"/>
      <c r="F5" s="222" t="s">
        <v>418</v>
      </c>
      <c r="G5" s="222"/>
      <c r="H5" s="222" t="s">
        <v>590</v>
      </c>
      <c r="I5" s="222"/>
      <c r="J5" s="223" t="s">
        <v>5</v>
      </c>
      <c r="K5" s="224"/>
    </row>
    <row r="6" spans="1:11" ht="15.75" x14ac:dyDescent="0.2">
      <c r="A6" s="212"/>
      <c r="B6" s="212"/>
      <c r="C6" s="221"/>
      <c r="D6" s="222" t="s">
        <v>6</v>
      </c>
      <c r="E6" s="222"/>
      <c r="F6" s="222" t="s">
        <v>7</v>
      </c>
      <c r="G6" s="222"/>
      <c r="H6" s="222" t="s">
        <v>8</v>
      </c>
      <c r="I6" s="222"/>
      <c r="J6" s="225"/>
      <c r="K6" s="226"/>
    </row>
    <row r="7" spans="1:11" ht="94.5" x14ac:dyDescent="0.2">
      <c r="A7" s="212"/>
      <c r="B7" s="212"/>
      <c r="C7" s="221"/>
      <c r="D7" s="69" t="s">
        <v>9</v>
      </c>
      <c r="E7" s="69" t="s">
        <v>10</v>
      </c>
      <c r="F7" s="69" t="s">
        <v>9</v>
      </c>
      <c r="G7" s="69" t="s">
        <v>10</v>
      </c>
      <c r="H7" s="69" t="s">
        <v>9</v>
      </c>
      <c r="I7" s="69" t="s">
        <v>10</v>
      </c>
      <c r="J7" s="104" t="s">
        <v>9</v>
      </c>
      <c r="K7" s="104" t="s">
        <v>10</v>
      </c>
    </row>
    <row r="8" spans="1:11" x14ac:dyDescent="0.2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</row>
    <row r="9" spans="1:11" ht="25.5" x14ac:dyDescent="0.2">
      <c r="A9" s="70" t="s">
        <v>11</v>
      </c>
      <c r="B9" s="166" t="s">
        <v>486</v>
      </c>
      <c r="C9" s="71" t="s">
        <v>12</v>
      </c>
      <c r="D9" s="72"/>
      <c r="E9" s="72"/>
      <c r="F9" s="21"/>
      <c r="G9" s="21"/>
      <c r="H9" s="21"/>
      <c r="I9" s="21"/>
      <c r="J9" s="21"/>
      <c r="K9" s="21"/>
    </row>
    <row r="10" spans="1:11" ht="25.5" x14ac:dyDescent="0.2">
      <c r="A10" s="25" t="s">
        <v>13</v>
      </c>
      <c r="B10" s="167" t="s">
        <v>487</v>
      </c>
      <c r="C10" s="20" t="s">
        <v>12</v>
      </c>
      <c r="D10" s="21"/>
      <c r="E10" s="21"/>
      <c r="F10" s="21"/>
      <c r="G10" s="21"/>
      <c r="H10" s="21"/>
      <c r="I10" s="21"/>
      <c r="J10" s="21"/>
      <c r="K10" s="21"/>
    </row>
    <row r="11" spans="1:11" ht="15.75" x14ac:dyDescent="0.2">
      <c r="A11" s="73" t="s">
        <v>289</v>
      </c>
      <c r="B11" s="167" t="s">
        <v>488</v>
      </c>
      <c r="C11" s="74" t="s">
        <v>12</v>
      </c>
      <c r="D11" s="75"/>
      <c r="E11" s="75">
        <v>0.68</v>
      </c>
      <c r="F11" s="21"/>
      <c r="G11" s="21"/>
      <c r="H11" s="21"/>
      <c r="I11" s="21"/>
      <c r="J11" s="21"/>
      <c r="K11" s="21"/>
    </row>
    <row r="12" spans="1:11" ht="15.75" x14ac:dyDescent="0.2">
      <c r="A12" s="76" t="s">
        <v>14</v>
      </c>
      <c r="B12" s="74">
        <v>1000</v>
      </c>
      <c r="C12" s="76"/>
      <c r="D12" s="75">
        <f>D19+D29</f>
        <v>30343298</v>
      </c>
      <c r="E12" s="75">
        <f>E19+E27</f>
        <v>1961500</v>
      </c>
      <c r="F12" s="75">
        <f>F20+F29</f>
        <v>30159320</v>
      </c>
      <c r="G12" s="75">
        <f>G19</f>
        <v>1961500</v>
      </c>
      <c r="H12" s="75">
        <f>H20+H29</f>
        <v>30159320</v>
      </c>
      <c r="I12" s="75">
        <f>I19</f>
        <v>1961500</v>
      </c>
      <c r="J12" s="21"/>
      <c r="K12" s="21"/>
    </row>
    <row r="13" spans="1:11" x14ac:dyDescent="0.2">
      <c r="A13" s="22" t="s">
        <v>15</v>
      </c>
      <c r="B13" s="212">
        <v>1100</v>
      </c>
      <c r="C13" s="212">
        <v>120</v>
      </c>
      <c r="D13" s="218" t="s">
        <v>12</v>
      </c>
      <c r="E13" s="213">
        <f>'3.1.1.'!C12</f>
        <v>0</v>
      </c>
      <c r="F13" s="219" t="s">
        <v>12</v>
      </c>
      <c r="G13" s="214"/>
      <c r="H13" s="219" t="s">
        <v>12</v>
      </c>
      <c r="I13" s="214"/>
      <c r="J13" s="220" t="s">
        <v>12</v>
      </c>
      <c r="K13" s="206"/>
    </row>
    <row r="14" spans="1:11" ht="12.75" customHeight="1" x14ac:dyDescent="0.2">
      <c r="A14" s="22" t="s">
        <v>16</v>
      </c>
      <c r="B14" s="212"/>
      <c r="C14" s="212"/>
      <c r="D14" s="218"/>
      <c r="E14" s="213"/>
      <c r="F14" s="219"/>
      <c r="G14" s="214"/>
      <c r="H14" s="219"/>
      <c r="I14" s="214"/>
      <c r="J14" s="209"/>
      <c r="K14" s="207"/>
    </row>
    <row r="15" spans="1:11" x14ac:dyDescent="0.2">
      <c r="A15" s="22" t="s">
        <v>15</v>
      </c>
      <c r="B15" s="23"/>
      <c r="C15" s="23"/>
      <c r="D15" s="39" t="s">
        <v>12</v>
      </c>
      <c r="E15" s="38"/>
      <c r="F15" s="24" t="s">
        <v>12</v>
      </c>
      <c r="G15" s="21"/>
      <c r="H15" s="24" t="s">
        <v>12</v>
      </c>
      <c r="I15" s="21"/>
      <c r="J15" s="24" t="s">
        <v>12</v>
      </c>
      <c r="K15" s="21"/>
    </row>
    <row r="16" spans="1:11" ht="38.25" x14ac:dyDescent="0.2">
      <c r="A16" s="22" t="s">
        <v>17</v>
      </c>
      <c r="B16" s="20">
        <v>1110</v>
      </c>
      <c r="C16" s="20">
        <v>120</v>
      </c>
      <c r="D16" s="39" t="s">
        <v>12</v>
      </c>
      <c r="E16" s="38">
        <v>0</v>
      </c>
      <c r="F16" s="21"/>
      <c r="G16" s="21"/>
      <c r="H16" s="21"/>
      <c r="I16" s="21"/>
      <c r="J16" s="21"/>
      <c r="K16" s="21"/>
    </row>
    <row r="17" spans="1:11" ht="38.25" x14ac:dyDescent="0.2">
      <c r="A17" s="22" t="s">
        <v>18</v>
      </c>
      <c r="B17" s="20">
        <v>1120</v>
      </c>
      <c r="C17" s="20">
        <v>120</v>
      </c>
      <c r="D17" s="39" t="s">
        <v>12</v>
      </c>
      <c r="E17" s="38">
        <f>'3.1.1.'!C15</f>
        <v>0</v>
      </c>
      <c r="F17" s="24" t="s">
        <v>12</v>
      </c>
      <c r="G17" s="21"/>
      <c r="H17" s="24" t="s">
        <v>12</v>
      </c>
      <c r="I17" s="21"/>
      <c r="J17" s="24" t="s">
        <v>12</v>
      </c>
      <c r="K17" s="21"/>
    </row>
    <row r="18" spans="1:11" ht="38.25" x14ac:dyDescent="0.2">
      <c r="A18" s="22" t="s">
        <v>19</v>
      </c>
      <c r="B18" s="20">
        <v>1130</v>
      </c>
      <c r="C18" s="20">
        <v>120</v>
      </c>
      <c r="D18" s="39" t="s">
        <v>12</v>
      </c>
      <c r="E18" s="38">
        <f>'3.1.1.'!C17</f>
        <v>0</v>
      </c>
      <c r="F18" s="24" t="s">
        <v>12</v>
      </c>
      <c r="G18" s="21"/>
      <c r="H18" s="24" t="s">
        <v>12</v>
      </c>
      <c r="I18" s="21"/>
      <c r="J18" s="24" t="s">
        <v>12</v>
      </c>
      <c r="K18" s="21"/>
    </row>
    <row r="19" spans="1:11" ht="25.5" x14ac:dyDescent="0.2">
      <c r="A19" s="22" t="s">
        <v>20</v>
      </c>
      <c r="B19" s="20">
        <v>1200</v>
      </c>
      <c r="C19" s="20">
        <v>130</v>
      </c>
      <c r="D19" s="38">
        <f>D20</f>
        <v>30091098</v>
      </c>
      <c r="E19" s="38">
        <f>E22+E23</f>
        <v>1961500</v>
      </c>
      <c r="F19" s="21">
        <f>F20</f>
        <v>29907120</v>
      </c>
      <c r="G19" s="21">
        <f>G22+G27+G23</f>
        <v>1961500</v>
      </c>
      <c r="H19" s="21">
        <f>H20</f>
        <v>29907120</v>
      </c>
      <c r="I19" s="21">
        <f>G19</f>
        <v>1961500</v>
      </c>
      <c r="J19" s="21"/>
      <c r="K19" s="21"/>
    </row>
    <row r="20" spans="1:11" x14ac:dyDescent="0.2">
      <c r="A20" s="22" t="s">
        <v>15</v>
      </c>
      <c r="B20" s="212">
        <v>1210</v>
      </c>
      <c r="C20" s="212">
        <v>130</v>
      </c>
      <c r="D20" s="213">
        <f>'3.2.2'!I15</f>
        <v>30091098</v>
      </c>
      <c r="E20" s="227" t="s">
        <v>12</v>
      </c>
      <c r="F20" s="214">
        <f>'3.2.2'!J15</f>
        <v>29907120</v>
      </c>
      <c r="G20" s="212" t="s">
        <v>12</v>
      </c>
      <c r="H20" s="214">
        <f>'3.2.2'!K15</f>
        <v>29907120</v>
      </c>
      <c r="I20" s="212" t="s">
        <v>12</v>
      </c>
      <c r="J20" s="206"/>
      <c r="K20" s="208" t="s">
        <v>12</v>
      </c>
    </row>
    <row r="21" spans="1:11" ht="25.5" x14ac:dyDescent="0.2">
      <c r="A21" s="22" t="s">
        <v>21</v>
      </c>
      <c r="B21" s="212"/>
      <c r="C21" s="212"/>
      <c r="D21" s="213"/>
      <c r="E21" s="227"/>
      <c r="F21" s="214"/>
      <c r="G21" s="212"/>
      <c r="H21" s="214"/>
      <c r="I21" s="212"/>
      <c r="J21" s="207"/>
      <c r="K21" s="209"/>
    </row>
    <row r="22" spans="1:11" ht="38.25" x14ac:dyDescent="0.2">
      <c r="A22" s="22" t="s">
        <v>276</v>
      </c>
      <c r="B22" s="20">
        <v>1220</v>
      </c>
      <c r="C22" s="20">
        <v>130</v>
      </c>
      <c r="D22" s="36" t="s">
        <v>12</v>
      </c>
      <c r="E22" s="38">
        <f>'3.2.1'!C13</f>
        <v>1961500</v>
      </c>
      <c r="F22" s="20" t="s">
        <v>12</v>
      </c>
      <c r="G22" s="21">
        <f>'3.2.3пит рп'!J8</f>
        <v>1961500</v>
      </c>
      <c r="H22" s="20" t="s">
        <v>12</v>
      </c>
      <c r="I22" s="21">
        <f>G22</f>
        <v>1961500</v>
      </c>
      <c r="J22" s="20" t="s">
        <v>12</v>
      </c>
      <c r="K22" s="21"/>
    </row>
    <row r="23" spans="1:11" ht="63.75" x14ac:dyDescent="0.2">
      <c r="A23" s="22" t="s">
        <v>22</v>
      </c>
      <c r="B23" s="20">
        <v>1230</v>
      </c>
      <c r="C23" s="20">
        <v>130</v>
      </c>
      <c r="D23" s="36" t="s">
        <v>12</v>
      </c>
      <c r="E23" s="38">
        <f>'3.2.1'!C14</f>
        <v>0</v>
      </c>
      <c r="F23" s="20" t="s">
        <v>12</v>
      </c>
      <c r="G23" s="21">
        <f>'3.2.4'!J17</f>
        <v>0</v>
      </c>
      <c r="H23" s="20" t="s">
        <v>12</v>
      </c>
      <c r="I23" s="21">
        <f>G23</f>
        <v>0</v>
      </c>
      <c r="J23" s="20" t="s">
        <v>12</v>
      </c>
      <c r="K23" s="21"/>
    </row>
    <row r="24" spans="1:11" ht="51" x14ac:dyDescent="0.2">
      <c r="A24" s="22" t="s">
        <v>23</v>
      </c>
      <c r="B24" s="20">
        <v>1240</v>
      </c>
      <c r="C24" s="20">
        <v>130</v>
      </c>
      <c r="D24" s="20" t="s">
        <v>12</v>
      </c>
      <c r="E24" s="22"/>
      <c r="F24" s="20" t="s">
        <v>12</v>
      </c>
      <c r="G24" s="22"/>
      <c r="H24" s="20" t="s">
        <v>12</v>
      </c>
      <c r="I24" s="22"/>
      <c r="J24" s="20" t="s">
        <v>12</v>
      </c>
      <c r="K24" s="22"/>
    </row>
    <row r="25" spans="1:11" ht="25.5" x14ac:dyDescent="0.2">
      <c r="A25" s="22" t="s">
        <v>24</v>
      </c>
      <c r="B25" s="20">
        <v>1300</v>
      </c>
      <c r="C25" s="20">
        <v>140</v>
      </c>
      <c r="D25" s="20" t="s">
        <v>12</v>
      </c>
      <c r="E25" s="22"/>
      <c r="F25" s="20" t="s">
        <v>12</v>
      </c>
      <c r="G25" s="22"/>
      <c r="H25" s="20" t="s">
        <v>12</v>
      </c>
      <c r="I25" s="22"/>
      <c r="J25" s="20" t="s">
        <v>12</v>
      </c>
      <c r="K25" s="22"/>
    </row>
    <row r="26" spans="1:11" x14ac:dyDescent="0.2">
      <c r="A26" s="22" t="s">
        <v>15</v>
      </c>
      <c r="B26" s="20">
        <v>1310</v>
      </c>
      <c r="C26" s="20">
        <v>140</v>
      </c>
      <c r="D26" s="22"/>
      <c r="E26" s="22"/>
      <c r="F26" s="22"/>
      <c r="G26" s="22"/>
      <c r="H26" s="22"/>
      <c r="I26" s="22"/>
      <c r="J26" s="22"/>
      <c r="K26" s="22"/>
    </row>
    <row r="27" spans="1:11" ht="25.5" x14ac:dyDescent="0.2">
      <c r="A27" s="22" t="s">
        <v>434</v>
      </c>
      <c r="B27" s="208">
        <v>1400</v>
      </c>
      <c r="C27" s="208">
        <v>150</v>
      </c>
      <c r="D27" s="107">
        <f>D29</f>
        <v>252200</v>
      </c>
      <c r="E27" s="106"/>
      <c r="F27" s="107">
        <f>F29</f>
        <v>252200</v>
      </c>
      <c r="G27" s="106"/>
      <c r="H27" s="24">
        <f>H29</f>
        <v>252200</v>
      </c>
      <c r="I27" s="21"/>
      <c r="J27" s="20" t="s">
        <v>12</v>
      </c>
      <c r="K27" s="22"/>
    </row>
    <row r="28" spans="1:11" x14ac:dyDescent="0.2">
      <c r="A28" s="22" t="s">
        <v>15</v>
      </c>
      <c r="B28" s="209"/>
      <c r="C28" s="209"/>
      <c r="D28" s="105" t="s">
        <v>12</v>
      </c>
      <c r="E28" s="106"/>
      <c r="F28" s="105" t="s">
        <v>12</v>
      </c>
      <c r="G28" s="106"/>
      <c r="H28" s="20" t="s">
        <v>12</v>
      </c>
      <c r="I28" s="21"/>
      <c r="J28" s="20"/>
      <c r="K28" s="22"/>
    </row>
    <row r="29" spans="1:11" x14ac:dyDescent="0.2">
      <c r="A29" s="22" t="s">
        <v>26</v>
      </c>
      <c r="B29" s="103">
        <v>1410</v>
      </c>
      <c r="C29" s="103">
        <v>150</v>
      </c>
      <c r="D29" s="107">
        <f>'3.4.1'!C12</f>
        <v>252200</v>
      </c>
      <c r="E29" s="107" t="s">
        <v>12</v>
      </c>
      <c r="F29" s="107">
        <f>'3.4.1'!D12</f>
        <v>252200</v>
      </c>
      <c r="G29" s="107" t="s">
        <v>12</v>
      </c>
      <c r="H29" s="24">
        <f>'3.4.1'!E12</f>
        <v>252200</v>
      </c>
      <c r="I29" s="24" t="s">
        <v>12</v>
      </c>
      <c r="J29" s="21"/>
      <c r="K29" s="21"/>
    </row>
    <row r="30" spans="1:11" ht="25.5" x14ac:dyDescent="0.2">
      <c r="A30" s="22" t="s">
        <v>27</v>
      </c>
      <c r="B30" s="20">
        <v>1420</v>
      </c>
      <c r="C30" s="20">
        <v>150</v>
      </c>
      <c r="D30" s="106"/>
      <c r="E30" s="105" t="s">
        <v>12</v>
      </c>
      <c r="F30" s="106"/>
      <c r="G30" s="105" t="s">
        <v>12</v>
      </c>
      <c r="H30" s="108"/>
      <c r="I30" s="20" t="s">
        <v>12</v>
      </c>
      <c r="J30" s="21"/>
      <c r="K30" s="20" t="s">
        <v>12</v>
      </c>
    </row>
    <row r="31" spans="1:11" x14ac:dyDescent="0.2">
      <c r="A31" s="22" t="s">
        <v>25</v>
      </c>
      <c r="B31" s="208">
        <v>1500</v>
      </c>
      <c r="C31" s="208">
        <v>180</v>
      </c>
      <c r="D31" s="215"/>
      <c r="E31" s="217" t="s">
        <v>12</v>
      </c>
      <c r="F31" s="215"/>
      <c r="G31" s="217" t="s">
        <v>12</v>
      </c>
      <c r="H31" s="215"/>
      <c r="I31" s="208" t="s">
        <v>12</v>
      </c>
      <c r="J31" s="206"/>
      <c r="K31" s="208"/>
    </row>
    <row r="32" spans="1:11" ht="12.75" customHeight="1" x14ac:dyDescent="0.2">
      <c r="A32" s="22" t="s">
        <v>15</v>
      </c>
      <c r="B32" s="209"/>
      <c r="C32" s="209"/>
      <c r="D32" s="216"/>
      <c r="E32" s="216"/>
      <c r="F32" s="216"/>
      <c r="G32" s="216"/>
      <c r="H32" s="216"/>
      <c r="I32" s="209"/>
      <c r="J32" s="207"/>
      <c r="K32" s="209"/>
    </row>
    <row r="33" spans="1:11" x14ac:dyDescent="0.2">
      <c r="A33" s="22" t="s">
        <v>367</v>
      </c>
      <c r="B33" s="103">
        <v>1510</v>
      </c>
      <c r="C33" s="103">
        <v>180</v>
      </c>
      <c r="D33" s="107"/>
      <c r="E33" s="107" t="s">
        <v>12</v>
      </c>
      <c r="F33" s="107"/>
      <c r="G33" s="107" t="s">
        <v>12</v>
      </c>
      <c r="H33" s="24"/>
      <c r="I33" s="24" t="s">
        <v>12</v>
      </c>
      <c r="J33" s="21"/>
      <c r="K33" s="21"/>
    </row>
    <row r="34" spans="1:11" ht="25.5" x14ac:dyDescent="0.2">
      <c r="A34" s="22" t="s">
        <v>27</v>
      </c>
      <c r="B34" s="103">
        <v>1520</v>
      </c>
      <c r="C34" s="103">
        <v>180</v>
      </c>
      <c r="D34" s="107"/>
      <c r="E34" s="107"/>
      <c r="F34" s="107"/>
      <c r="G34" s="107"/>
      <c r="H34" s="24"/>
      <c r="I34" s="24"/>
      <c r="J34" s="21"/>
      <c r="K34" s="21"/>
    </row>
    <row r="35" spans="1:11" x14ac:dyDescent="0.2">
      <c r="A35" s="22" t="s">
        <v>28</v>
      </c>
      <c r="B35" s="20">
        <v>1900</v>
      </c>
      <c r="C35" s="22"/>
      <c r="D35" s="106"/>
      <c r="E35" s="106"/>
      <c r="F35" s="106"/>
      <c r="G35" s="106"/>
      <c r="H35" s="21"/>
      <c r="I35" s="21"/>
      <c r="J35" s="22"/>
      <c r="K35" s="21"/>
    </row>
    <row r="36" spans="1:11" x14ac:dyDescent="0.2">
      <c r="A36" s="22" t="s">
        <v>15</v>
      </c>
      <c r="B36" s="22"/>
      <c r="C36" s="22"/>
      <c r="D36" s="106"/>
      <c r="E36" s="106"/>
      <c r="F36" s="106"/>
      <c r="G36" s="106"/>
      <c r="H36" s="21"/>
      <c r="I36" s="21"/>
      <c r="J36" s="22"/>
      <c r="K36" s="21"/>
    </row>
    <row r="37" spans="1:11" x14ac:dyDescent="0.2">
      <c r="A37" s="25" t="s">
        <v>29</v>
      </c>
      <c r="B37" s="20">
        <v>1980</v>
      </c>
      <c r="C37" s="20" t="s">
        <v>12</v>
      </c>
      <c r="D37" s="106"/>
      <c r="E37" s="106"/>
      <c r="F37" s="106"/>
      <c r="G37" s="106"/>
      <c r="H37" s="21"/>
      <c r="I37" s="21"/>
      <c r="J37" s="22"/>
      <c r="K37" s="21"/>
    </row>
    <row r="38" spans="1:11" x14ac:dyDescent="0.2">
      <c r="A38" s="22" t="s">
        <v>30</v>
      </c>
      <c r="B38" s="208">
        <v>1981</v>
      </c>
      <c r="C38" s="208">
        <v>510</v>
      </c>
      <c r="D38" s="106"/>
      <c r="E38" s="106"/>
      <c r="F38" s="106"/>
      <c r="G38" s="106"/>
      <c r="H38" s="21"/>
      <c r="I38" s="21"/>
      <c r="J38" s="20" t="s">
        <v>12</v>
      </c>
      <c r="K38" s="21"/>
    </row>
    <row r="39" spans="1:11" ht="38.25" x14ac:dyDescent="0.2">
      <c r="A39" s="22" t="s">
        <v>31</v>
      </c>
      <c r="B39" s="209"/>
      <c r="C39" s="209"/>
      <c r="D39" s="106"/>
      <c r="E39" s="106"/>
      <c r="F39" s="106"/>
      <c r="G39" s="106"/>
      <c r="H39" s="21"/>
      <c r="I39" s="21"/>
      <c r="J39" s="20"/>
      <c r="K39" s="21"/>
    </row>
    <row r="40" spans="1:11" ht="15.75" x14ac:dyDescent="0.2">
      <c r="A40" s="76" t="s">
        <v>32</v>
      </c>
      <c r="B40" s="74">
        <v>2000</v>
      </c>
      <c r="C40" s="74" t="s">
        <v>12</v>
      </c>
      <c r="D40" s="75">
        <f>D41+D77+D81</f>
        <v>30343298.002</v>
      </c>
      <c r="E40" s="75">
        <f>E41+E75+E77+E81</f>
        <v>1961500.68</v>
      </c>
      <c r="F40" s="75">
        <f>F41+F81</f>
        <v>30159320.002</v>
      </c>
      <c r="G40" s="75">
        <f>G41+G81</f>
        <v>1961500</v>
      </c>
      <c r="H40" s="75">
        <f t="shared" ref="H40:I40" si="0">H41+H81</f>
        <v>30159320.002</v>
      </c>
      <c r="I40" s="75">
        <f t="shared" si="0"/>
        <v>1961500</v>
      </c>
      <c r="J40" s="22"/>
      <c r="K40" s="21"/>
    </row>
    <row r="41" spans="1:11" x14ac:dyDescent="0.2">
      <c r="A41" s="22" t="s">
        <v>15</v>
      </c>
      <c r="B41" s="212">
        <v>2100</v>
      </c>
      <c r="C41" s="212" t="s">
        <v>12</v>
      </c>
      <c r="D41" s="213">
        <f>D43+D45+D46+D47</f>
        <v>24921708.002</v>
      </c>
      <c r="E41" s="213">
        <f>E43+E45+E46+E47</f>
        <v>0</v>
      </c>
      <c r="F41" s="214">
        <f>F43+F45+F47</f>
        <v>24737730.002</v>
      </c>
      <c r="G41" s="214">
        <f>G43+G47</f>
        <v>0</v>
      </c>
      <c r="H41" s="214">
        <f>H43+H45+H47</f>
        <v>24737730.002</v>
      </c>
      <c r="I41" s="214">
        <f>I43+I45+I47</f>
        <v>0</v>
      </c>
      <c r="J41" s="208" t="s">
        <v>12</v>
      </c>
      <c r="K41" s="206"/>
    </row>
    <row r="42" spans="1:11" x14ac:dyDescent="0.2">
      <c r="A42" s="22" t="s">
        <v>33</v>
      </c>
      <c r="B42" s="212"/>
      <c r="C42" s="212"/>
      <c r="D42" s="213"/>
      <c r="E42" s="213"/>
      <c r="F42" s="214"/>
      <c r="G42" s="214"/>
      <c r="H42" s="214"/>
      <c r="I42" s="214"/>
      <c r="J42" s="209"/>
      <c r="K42" s="207"/>
    </row>
    <row r="43" spans="1:11" ht="12.75" customHeight="1" x14ac:dyDescent="0.2">
      <c r="A43" s="22" t="s">
        <v>15</v>
      </c>
      <c r="B43" s="212">
        <v>2110</v>
      </c>
      <c r="C43" s="212">
        <v>111</v>
      </c>
      <c r="D43" s="213">
        <f>'3.6.1'!C12</f>
        <v>19141096</v>
      </c>
      <c r="E43" s="213">
        <f>'3.6.1'!C13</f>
        <v>0</v>
      </c>
      <c r="F43" s="214">
        <f>'3.6.1'!D12</f>
        <v>18999796</v>
      </c>
      <c r="G43" s="214">
        <f>'3.6.1'!D13</f>
        <v>0</v>
      </c>
      <c r="H43" s="214">
        <f>'3.6.1'!E12</f>
        <v>18999796</v>
      </c>
      <c r="I43" s="214">
        <f>G43</f>
        <v>0</v>
      </c>
      <c r="J43" s="208" t="s">
        <v>12</v>
      </c>
      <c r="K43" s="206"/>
    </row>
    <row r="44" spans="1:11" x14ac:dyDescent="0.2">
      <c r="A44" s="22" t="s">
        <v>34</v>
      </c>
      <c r="B44" s="212"/>
      <c r="C44" s="212"/>
      <c r="D44" s="213"/>
      <c r="E44" s="213"/>
      <c r="F44" s="214"/>
      <c r="G44" s="214"/>
      <c r="H44" s="214"/>
      <c r="I44" s="214"/>
      <c r="J44" s="209"/>
      <c r="K44" s="207"/>
    </row>
    <row r="45" spans="1:11" ht="25.5" x14ac:dyDescent="0.2">
      <c r="A45" s="22" t="s">
        <v>35</v>
      </c>
      <c r="B45" s="20">
        <v>2120</v>
      </c>
      <c r="C45" s="20">
        <v>112</v>
      </c>
      <c r="D45" s="38">
        <f>'3.8.2'!L9</f>
        <v>0</v>
      </c>
      <c r="E45" s="38"/>
      <c r="F45" s="21">
        <f>'3.8.2'!M9</f>
        <v>0</v>
      </c>
      <c r="G45" s="21"/>
      <c r="H45" s="21">
        <f>F45</f>
        <v>0</v>
      </c>
      <c r="I45" s="21"/>
      <c r="J45" s="20" t="s">
        <v>12</v>
      </c>
      <c r="K45" s="21"/>
    </row>
    <row r="46" spans="1:11" ht="38.25" x14ac:dyDescent="0.2">
      <c r="A46" s="22" t="s">
        <v>36</v>
      </c>
      <c r="B46" s="20">
        <v>2130</v>
      </c>
      <c r="C46" s="20">
        <v>113</v>
      </c>
      <c r="D46" s="38"/>
      <c r="E46" s="38"/>
      <c r="F46" s="21"/>
      <c r="G46" s="21"/>
      <c r="H46" s="21"/>
      <c r="I46" s="21"/>
      <c r="J46" s="20" t="s">
        <v>12</v>
      </c>
      <c r="K46" s="21"/>
    </row>
    <row r="47" spans="1:11" ht="51" x14ac:dyDescent="0.2">
      <c r="A47" s="22" t="s">
        <v>37</v>
      </c>
      <c r="B47" s="20">
        <v>2140</v>
      </c>
      <c r="C47" s="20">
        <v>119</v>
      </c>
      <c r="D47" s="38">
        <f>D48+D50</f>
        <v>5780612.0019999994</v>
      </c>
      <c r="E47" s="38">
        <f>E48+E50</f>
        <v>0</v>
      </c>
      <c r="F47" s="21">
        <f>'3.7.1'!D12</f>
        <v>5737934.0019999994</v>
      </c>
      <c r="G47" s="21">
        <f>G48</f>
        <v>0</v>
      </c>
      <c r="H47" s="21">
        <f>'3.7.1'!E12</f>
        <v>5737934.0019999994</v>
      </c>
      <c r="I47" s="21">
        <f>G47</f>
        <v>0</v>
      </c>
      <c r="J47" s="20" t="s">
        <v>12</v>
      </c>
      <c r="K47" s="21"/>
    </row>
    <row r="48" spans="1:11" x14ac:dyDescent="0.2">
      <c r="A48" s="22" t="s">
        <v>15</v>
      </c>
      <c r="B48" s="212">
        <v>2141</v>
      </c>
      <c r="C48" s="212">
        <v>119</v>
      </c>
      <c r="D48" s="213">
        <f>'3.7.1'!C12</f>
        <v>5780612.0019999994</v>
      </c>
      <c r="E48" s="213">
        <f>'3.7.1'!C13</f>
        <v>0</v>
      </c>
      <c r="F48" s="214">
        <f>'3.7.1'!D12</f>
        <v>5737934.0019999994</v>
      </c>
      <c r="G48" s="214">
        <f>'3.7.1'!E13</f>
        <v>0</v>
      </c>
      <c r="H48" s="214">
        <f>'3.7.1'!E12</f>
        <v>5737934.0019999994</v>
      </c>
      <c r="I48" s="214">
        <f>G48</f>
        <v>0</v>
      </c>
      <c r="J48" s="208" t="s">
        <v>12</v>
      </c>
      <c r="K48" s="206"/>
    </row>
    <row r="49" spans="1:11" x14ac:dyDescent="0.2">
      <c r="A49" s="22" t="s">
        <v>38</v>
      </c>
      <c r="B49" s="212"/>
      <c r="C49" s="212"/>
      <c r="D49" s="213"/>
      <c r="E49" s="213"/>
      <c r="F49" s="214"/>
      <c r="G49" s="214"/>
      <c r="H49" s="214"/>
      <c r="I49" s="214"/>
      <c r="J49" s="209"/>
      <c r="K49" s="207"/>
    </row>
    <row r="50" spans="1:11" ht="12" customHeight="1" x14ac:dyDescent="0.2">
      <c r="A50" s="22" t="s">
        <v>39</v>
      </c>
      <c r="B50" s="20">
        <v>2142</v>
      </c>
      <c r="C50" s="20">
        <v>119</v>
      </c>
      <c r="D50" s="21"/>
      <c r="E50" s="21"/>
      <c r="F50" s="21"/>
      <c r="G50" s="21"/>
      <c r="H50" s="21"/>
      <c r="I50" s="21"/>
      <c r="J50" s="20" t="s">
        <v>12</v>
      </c>
      <c r="K50" s="21"/>
    </row>
    <row r="51" spans="1:11" ht="38.25" customHeight="1" x14ac:dyDescent="0.2">
      <c r="A51" s="22" t="s">
        <v>368</v>
      </c>
      <c r="B51" s="20">
        <v>2150</v>
      </c>
      <c r="C51" s="20">
        <v>131</v>
      </c>
      <c r="D51" s="21"/>
      <c r="E51" s="21"/>
      <c r="F51" s="21"/>
      <c r="G51" s="21"/>
      <c r="H51" s="21"/>
      <c r="I51" s="21"/>
      <c r="J51" s="20"/>
      <c r="K51" s="21"/>
    </row>
    <row r="52" spans="1:11" ht="38.25" customHeight="1" x14ac:dyDescent="0.2">
      <c r="A52" s="22" t="s">
        <v>369</v>
      </c>
      <c r="B52" s="20">
        <v>2160</v>
      </c>
      <c r="C52" s="20">
        <v>133</v>
      </c>
      <c r="D52" s="21"/>
      <c r="E52" s="21"/>
      <c r="F52" s="21"/>
      <c r="G52" s="21"/>
      <c r="H52" s="21"/>
      <c r="I52" s="21"/>
      <c r="J52" s="20"/>
      <c r="K52" s="21"/>
    </row>
    <row r="53" spans="1:11" ht="38.25" x14ac:dyDescent="0.2">
      <c r="A53" s="22" t="s">
        <v>370</v>
      </c>
      <c r="B53" s="20">
        <v>2170</v>
      </c>
      <c r="C53" s="20">
        <v>134</v>
      </c>
      <c r="D53" s="21"/>
      <c r="E53" s="21"/>
      <c r="F53" s="21"/>
      <c r="G53" s="21"/>
      <c r="H53" s="21"/>
      <c r="I53" s="21"/>
      <c r="J53" s="20"/>
      <c r="K53" s="21"/>
    </row>
    <row r="54" spans="1:11" ht="51" x14ac:dyDescent="0.2">
      <c r="A54" s="22" t="s">
        <v>40</v>
      </c>
      <c r="B54" s="20">
        <v>2180</v>
      </c>
      <c r="C54" s="20">
        <v>139</v>
      </c>
      <c r="D54" s="21"/>
      <c r="E54" s="21"/>
      <c r="F54" s="21"/>
      <c r="G54" s="21"/>
      <c r="H54" s="21"/>
      <c r="I54" s="21"/>
      <c r="J54" s="20" t="s">
        <v>12</v>
      </c>
      <c r="K54" s="21"/>
    </row>
    <row r="55" spans="1:11" x14ac:dyDescent="0.2">
      <c r="A55" s="22" t="s">
        <v>15</v>
      </c>
      <c r="B55" s="208">
        <v>2181</v>
      </c>
      <c r="C55" s="208">
        <v>139</v>
      </c>
      <c r="D55" s="206"/>
      <c r="E55" s="206"/>
      <c r="F55" s="206"/>
      <c r="G55" s="206"/>
      <c r="H55" s="206"/>
      <c r="I55" s="206"/>
      <c r="J55" s="208" t="s">
        <v>12</v>
      </c>
      <c r="K55" s="206"/>
    </row>
    <row r="56" spans="1:11" ht="12.75" customHeight="1" x14ac:dyDescent="0.2">
      <c r="A56" s="22" t="s">
        <v>41</v>
      </c>
      <c r="B56" s="209"/>
      <c r="C56" s="209"/>
      <c r="D56" s="210"/>
      <c r="E56" s="210"/>
      <c r="F56" s="207"/>
      <c r="G56" s="207"/>
      <c r="H56" s="207"/>
      <c r="I56" s="207"/>
      <c r="J56" s="209"/>
      <c r="K56" s="207"/>
    </row>
    <row r="57" spans="1:11" ht="25.5" x14ac:dyDescent="0.2">
      <c r="A57" s="22" t="s">
        <v>42</v>
      </c>
      <c r="B57" s="20">
        <v>2182</v>
      </c>
      <c r="C57" s="20">
        <v>139</v>
      </c>
      <c r="D57" s="21"/>
      <c r="E57" s="21"/>
      <c r="F57" s="21"/>
      <c r="G57" s="21"/>
      <c r="H57" s="21"/>
      <c r="I57" s="21"/>
      <c r="J57" s="20" t="s">
        <v>12</v>
      </c>
      <c r="K57" s="21"/>
    </row>
    <row r="58" spans="1:11" ht="25.5" x14ac:dyDescent="0.2">
      <c r="A58" s="22" t="s">
        <v>43</v>
      </c>
      <c r="B58" s="20">
        <v>2200</v>
      </c>
      <c r="C58" s="20">
        <v>300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0" t="s">
        <v>12</v>
      </c>
      <c r="K58" s="21"/>
    </row>
    <row r="59" spans="1:11" x14ac:dyDescent="0.2">
      <c r="A59" s="22" t="s">
        <v>15</v>
      </c>
      <c r="B59" s="208">
        <v>2210</v>
      </c>
      <c r="C59" s="208">
        <v>320</v>
      </c>
      <c r="D59" s="206">
        <v>0</v>
      </c>
      <c r="E59" s="206">
        <v>0</v>
      </c>
      <c r="F59" s="206">
        <v>0</v>
      </c>
      <c r="G59" s="206">
        <v>0</v>
      </c>
      <c r="H59" s="206">
        <v>0</v>
      </c>
      <c r="I59" s="206">
        <v>0</v>
      </c>
      <c r="J59" s="208" t="s">
        <v>12</v>
      </c>
      <c r="K59" s="206"/>
    </row>
    <row r="60" spans="1:11" ht="38.25" x14ac:dyDescent="0.2">
      <c r="A60" s="22" t="s">
        <v>44</v>
      </c>
      <c r="B60" s="209"/>
      <c r="C60" s="209"/>
      <c r="D60" s="210"/>
      <c r="E60" s="210"/>
      <c r="F60" s="207"/>
      <c r="G60" s="207"/>
      <c r="H60" s="207"/>
      <c r="I60" s="207"/>
      <c r="J60" s="209"/>
      <c r="K60" s="207"/>
    </row>
    <row r="61" spans="1:11" ht="37.5" customHeight="1" x14ac:dyDescent="0.2">
      <c r="A61" s="22" t="s">
        <v>30</v>
      </c>
      <c r="B61" s="208">
        <v>2211</v>
      </c>
      <c r="C61" s="208">
        <v>321</v>
      </c>
      <c r="D61" s="229">
        <v>0</v>
      </c>
      <c r="E61" s="229">
        <v>0</v>
      </c>
      <c r="F61" s="229">
        <v>0</v>
      </c>
      <c r="G61" s="229">
        <v>0</v>
      </c>
      <c r="H61" s="206">
        <v>0</v>
      </c>
      <c r="I61" s="206">
        <v>0</v>
      </c>
      <c r="J61" s="208" t="s">
        <v>12</v>
      </c>
      <c r="K61" s="206"/>
    </row>
    <row r="62" spans="1:11" ht="51" hidden="1" customHeight="1" x14ac:dyDescent="0.2">
      <c r="A62" s="22" t="s">
        <v>45</v>
      </c>
      <c r="B62" s="209"/>
      <c r="C62" s="209"/>
      <c r="D62" s="230"/>
      <c r="E62" s="230"/>
      <c r="F62" s="207"/>
      <c r="G62" s="207"/>
      <c r="H62" s="207"/>
      <c r="I62" s="207"/>
      <c r="J62" s="209"/>
      <c r="K62" s="207"/>
    </row>
    <row r="63" spans="1:11" ht="75.75" customHeight="1" x14ac:dyDescent="0.2">
      <c r="A63" s="37" t="s">
        <v>46</v>
      </c>
      <c r="B63" s="36">
        <v>2220</v>
      </c>
      <c r="C63" s="36">
        <v>340</v>
      </c>
      <c r="D63" s="39"/>
      <c r="E63" s="39"/>
      <c r="F63" s="39">
        <f>D63</f>
        <v>0</v>
      </c>
      <c r="G63" s="39">
        <f>E63</f>
        <v>0</v>
      </c>
      <c r="H63" s="39">
        <f>D63</f>
        <v>0</v>
      </c>
      <c r="I63" s="39">
        <f>E63</f>
        <v>0</v>
      </c>
      <c r="J63" s="36" t="s">
        <v>12</v>
      </c>
      <c r="K63" s="39"/>
    </row>
    <row r="64" spans="1:11" ht="38.25" customHeight="1" x14ac:dyDescent="0.2">
      <c r="A64" s="37" t="s">
        <v>47</v>
      </c>
      <c r="B64" s="36">
        <v>2230</v>
      </c>
      <c r="C64" s="36">
        <v>350</v>
      </c>
      <c r="D64" s="39"/>
      <c r="E64" s="39"/>
      <c r="F64" s="39"/>
      <c r="G64" s="39"/>
      <c r="H64" s="39"/>
      <c r="I64" s="39"/>
      <c r="J64" s="36" t="s">
        <v>12</v>
      </c>
      <c r="K64" s="39"/>
    </row>
    <row r="65" spans="1:11" x14ac:dyDescent="0.2">
      <c r="A65" s="37" t="s">
        <v>371</v>
      </c>
      <c r="B65" s="36">
        <v>2240</v>
      </c>
      <c r="C65" s="36">
        <v>360</v>
      </c>
      <c r="D65" s="39"/>
      <c r="E65" s="39"/>
      <c r="F65" s="39"/>
      <c r="G65" s="39"/>
      <c r="H65" s="39"/>
      <c r="I65" s="39"/>
      <c r="J65" s="36" t="s">
        <v>12</v>
      </c>
      <c r="K65" s="39"/>
    </row>
    <row r="66" spans="1:11" ht="25.5" x14ac:dyDescent="0.2">
      <c r="A66" s="22" t="s">
        <v>48</v>
      </c>
      <c r="B66" s="20">
        <v>2300</v>
      </c>
      <c r="C66" s="20">
        <v>850</v>
      </c>
      <c r="D66" s="106">
        <f>D69</f>
        <v>0</v>
      </c>
      <c r="E66" s="106"/>
      <c r="F66" s="106">
        <v>0</v>
      </c>
      <c r="G66" s="106"/>
      <c r="H66" s="21">
        <v>0</v>
      </c>
      <c r="I66" s="21"/>
      <c r="J66" s="20" t="s">
        <v>12</v>
      </c>
      <c r="K66" s="21"/>
    </row>
    <row r="67" spans="1:11" x14ac:dyDescent="0.2">
      <c r="A67" s="22" t="s">
        <v>30</v>
      </c>
      <c r="B67" s="208">
        <v>2310</v>
      </c>
      <c r="C67" s="208">
        <v>851</v>
      </c>
      <c r="D67" s="206"/>
      <c r="E67" s="206"/>
      <c r="F67" s="206"/>
      <c r="G67" s="206"/>
      <c r="H67" s="206"/>
      <c r="I67" s="206"/>
      <c r="J67" s="208" t="s">
        <v>12</v>
      </c>
      <c r="K67" s="206"/>
    </row>
    <row r="68" spans="1:11" ht="25.5" x14ac:dyDescent="0.2">
      <c r="A68" s="22" t="s">
        <v>49</v>
      </c>
      <c r="B68" s="209"/>
      <c r="C68" s="209"/>
      <c r="D68" s="210"/>
      <c r="E68" s="210"/>
      <c r="F68" s="207"/>
      <c r="G68" s="207"/>
      <c r="H68" s="207"/>
      <c r="I68" s="207"/>
      <c r="J68" s="209"/>
      <c r="K68" s="207"/>
    </row>
    <row r="69" spans="1:11" ht="51" x14ac:dyDescent="0.2">
      <c r="A69" s="22" t="s">
        <v>50</v>
      </c>
      <c r="B69" s="20">
        <v>2320</v>
      </c>
      <c r="C69" s="20">
        <v>852</v>
      </c>
      <c r="D69" s="109">
        <v>0</v>
      </c>
      <c r="E69" s="21"/>
      <c r="F69" s="109">
        <v>0</v>
      </c>
      <c r="G69" s="21"/>
      <c r="H69" s="109">
        <v>0</v>
      </c>
      <c r="I69" s="21"/>
      <c r="J69" s="20" t="s">
        <v>12</v>
      </c>
      <c r="K69" s="21"/>
    </row>
    <row r="70" spans="1:11" ht="25.5" x14ac:dyDescent="0.2">
      <c r="A70" s="22" t="s">
        <v>51</v>
      </c>
      <c r="B70" s="20">
        <v>2330</v>
      </c>
      <c r="C70" s="20">
        <v>853</v>
      </c>
      <c r="D70" s="21"/>
      <c r="E70" s="21"/>
      <c r="F70" s="21"/>
      <c r="G70" s="21"/>
      <c r="H70" s="21"/>
      <c r="I70" s="21"/>
      <c r="J70" s="20" t="s">
        <v>12</v>
      </c>
      <c r="K70" s="21"/>
    </row>
    <row r="71" spans="1:11" ht="25.5" x14ac:dyDescent="0.2">
      <c r="A71" s="22" t="s">
        <v>52</v>
      </c>
      <c r="B71" s="20">
        <v>2400</v>
      </c>
      <c r="C71" s="20" t="s">
        <v>12</v>
      </c>
      <c r="D71" s="21"/>
      <c r="E71" s="21"/>
      <c r="F71" s="21"/>
      <c r="G71" s="21"/>
      <c r="H71" s="21"/>
      <c r="I71" s="21"/>
      <c r="J71" s="20" t="s">
        <v>12</v>
      </c>
      <c r="K71" s="21"/>
    </row>
    <row r="72" spans="1:11" x14ac:dyDescent="0.2">
      <c r="A72" s="22" t="s">
        <v>30</v>
      </c>
      <c r="B72" s="208">
        <v>2410</v>
      </c>
      <c r="C72" s="208">
        <v>613</v>
      </c>
      <c r="D72" s="206"/>
      <c r="E72" s="206"/>
      <c r="F72" s="206"/>
      <c r="G72" s="206"/>
      <c r="H72" s="206"/>
      <c r="I72" s="206"/>
      <c r="J72" s="208" t="s">
        <v>12</v>
      </c>
      <c r="K72" s="206"/>
    </row>
    <row r="73" spans="1:11" ht="25.5" x14ac:dyDescent="0.2">
      <c r="A73" s="22" t="s">
        <v>53</v>
      </c>
      <c r="B73" s="209"/>
      <c r="C73" s="209"/>
      <c r="D73" s="210"/>
      <c r="E73" s="210"/>
      <c r="F73" s="207"/>
      <c r="G73" s="207"/>
      <c r="H73" s="207"/>
      <c r="I73" s="207"/>
      <c r="J73" s="209"/>
      <c r="K73" s="207"/>
    </row>
    <row r="74" spans="1:11" ht="25.5" x14ac:dyDescent="0.2">
      <c r="A74" s="22" t="s">
        <v>372</v>
      </c>
      <c r="B74" s="20">
        <v>2420</v>
      </c>
      <c r="C74" s="20">
        <v>623</v>
      </c>
      <c r="D74" s="21"/>
      <c r="E74" s="21"/>
      <c r="F74" s="21"/>
      <c r="G74" s="21"/>
      <c r="H74" s="21"/>
      <c r="I74" s="21"/>
      <c r="J74" s="20" t="s">
        <v>12</v>
      </c>
      <c r="K74" s="21"/>
    </row>
    <row r="75" spans="1:11" ht="51" x14ac:dyDescent="0.2">
      <c r="A75" s="22" t="s">
        <v>373</v>
      </c>
      <c r="B75" s="20">
        <v>2430</v>
      </c>
      <c r="C75" s="20">
        <v>634</v>
      </c>
      <c r="D75" s="21"/>
      <c r="E75" s="21"/>
      <c r="F75" s="21"/>
      <c r="G75" s="21"/>
      <c r="H75" s="21"/>
      <c r="I75" s="21"/>
      <c r="J75" s="20" t="s">
        <v>12</v>
      </c>
      <c r="K75" s="21"/>
    </row>
    <row r="76" spans="1:11" ht="25.5" x14ac:dyDescent="0.2">
      <c r="A76" s="22" t="s">
        <v>53</v>
      </c>
      <c r="B76" s="20">
        <v>2440</v>
      </c>
      <c r="C76" s="20">
        <v>810</v>
      </c>
      <c r="D76" s="21"/>
      <c r="E76" s="21"/>
      <c r="F76" s="21"/>
      <c r="G76" s="21"/>
      <c r="H76" s="21"/>
      <c r="I76" s="21"/>
      <c r="J76" s="20"/>
      <c r="K76" s="21"/>
    </row>
    <row r="77" spans="1:11" x14ac:dyDescent="0.2">
      <c r="A77" s="22" t="s">
        <v>54</v>
      </c>
      <c r="B77" s="20">
        <v>2450</v>
      </c>
      <c r="C77" s="20">
        <v>862</v>
      </c>
      <c r="D77" s="21"/>
      <c r="E77" s="21"/>
      <c r="F77" s="21"/>
      <c r="G77" s="21"/>
      <c r="H77" s="21"/>
      <c r="I77" s="21"/>
      <c r="J77" s="20"/>
      <c r="K77" s="21"/>
    </row>
    <row r="78" spans="1:11" ht="51" x14ac:dyDescent="0.2">
      <c r="A78" s="22" t="s">
        <v>55</v>
      </c>
      <c r="B78" s="20">
        <v>2460</v>
      </c>
      <c r="C78" s="20">
        <v>863</v>
      </c>
      <c r="D78" s="21"/>
      <c r="E78" s="21"/>
      <c r="F78" s="21"/>
      <c r="G78" s="21"/>
      <c r="H78" s="21"/>
      <c r="I78" s="21"/>
      <c r="J78" s="20"/>
      <c r="K78" s="21"/>
    </row>
    <row r="79" spans="1:11" ht="25.5" x14ac:dyDescent="0.2">
      <c r="A79" s="22" t="s">
        <v>56</v>
      </c>
      <c r="B79" s="20">
        <v>2500</v>
      </c>
      <c r="C79" s="20" t="s">
        <v>12</v>
      </c>
      <c r="D79" s="109">
        <v>0</v>
      </c>
      <c r="E79" s="21">
        <v>0</v>
      </c>
      <c r="F79" s="109">
        <v>0</v>
      </c>
      <c r="G79" s="21">
        <v>0</v>
      </c>
      <c r="H79" s="109">
        <v>0</v>
      </c>
      <c r="I79" s="21">
        <v>0</v>
      </c>
      <c r="J79" s="20" t="s">
        <v>12</v>
      </c>
      <c r="K79" s="21"/>
    </row>
    <row r="80" spans="1:11" ht="51" x14ac:dyDescent="0.2">
      <c r="A80" s="22" t="s">
        <v>57</v>
      </c>
      <c r="B80" s="20">
        <v>2520</v>
      </c>
      <c r="C80" s="20">
        <v>831</v>
      </c>
      <c r="D80" s="21"/>
      <c r="E80" s="21"/>
      <c r="F80" s="21"/>
      <c r="G80" s="21"/>
      <c r="H80" s="21"/>
      <c r="I80" s="21"/>
      <c r="J80" s="20" t="s">
        <v>12</v>
      </c>
      <c r="K80" s="21"/>
    </row>
    <row r="81" spans="1:11" ht="25.5" x14ac:dyDescent="0.2">
      <c r="A81" s="22" t="s">
        <v>58</v>
      </c>
      <c r="B81" s="20">
        <v>2600</v>
      </c>
      <c r="C81" s="20" t="s">
        <v>12</v>
      </c>
      <c r="D81" s="21">
        <f>D84+D85</f>
        <v>5421590</v>
      </c>
      <c r="E81" s="21">
        <f>E84</f>
        <v>1961500.68</v>
      </c>
      <c r="F81" s="21">
        <f>F84+F85</f>
        <v>5421590</v>
      </c>
      <c r="G81" s="21">
        <f>'3.13.1СВОД'!I37+'3.13.1СВОД'!K37</f>
        <v>1961500</v>
      </c>
      <c r="H81" s="21">
        <f>H84+H85</f>
        <v>5421590</v>
      </c>
      <c r="I81" s="21">
        <f>'3.13.1СВОД'!I61+'3.13.1СВОД'!K61</f>
        <v>1961500</v>
      </c>
      <c r="J81" s="20"/>
      <c r="K81" s="21"/>
    </row>
    <row r="82" spans="1:11" x14ac:dyDescent="0.2">
      <c r="A82" s="22" t="s">
        <v>15</v>
      </c>
      <c r="B82" s="208">
        <v>2610</v>
      </c>
      <c r="C82" s="208">
        <v>241</v>
      </c>
      <c r="D82" s="206"/>
      <c r="E82" s="206"/>
      <c r="F82" s="206"/>
      <c r="G82" s="206"/>
      <c r="H82" s="206"/>
      <c r="I82" s="206"/>
      <c r="J82" s="208"/>
      <c r="K82" s="206"/>
    </row>
    <row r="83" spans="1:11" ht="25.5" x14ac:dyDescent="0.2">
      <c r="A83" s="22" t="s">
        <v>59</v>
      </c>
      <c r="B83" s="209"/>
      <c r="C83" s="209"/>
      <c r="D83" s="210"/>
      <c r="E83" s="210"/>
      <c r="F83" s="207"/>
      <c r="G83" s="207"/>
      <c r="H83" s="207"/>
      <c r="I83" s="207"/>
      <c r="J83" s="209"/>
      <c r="K83" s="207"/>
    </row>
    <row r="84" spans="1:11" ht="25.5" x14ac:dyDescent="0.2">
      <c r="A84" s="22" t="s">
        <v>60</v>
      </c>
      <c r="B84" s="20">
        <v>2640</v>
      </c>
      <c r="C84" s="20">
        <v>244</v>
      </c>
      <c r="D84" s="106">
        <f>'3.13.1СВОД'!D19+'3.13.1СВОД'!D22+'3.13.1СВОД'!D24+'3.13.1СВОД'!E13+'3.13.1СВОД'!F13+'3.13.1СВОД'!G13+'3.13.1СВОД'!H13</f>
        <v>3321290</v>
      </c>
      <c r="E84" s="106">
        <f>'3.13.1СВОД'!I13+'3.13.1СВОД'!J13+'3.13.1СВОД'!K13+'3.13.1СВОД'!L13+'3.13.1СВОД'!M13+'3.13.1СВОД'!N23</f>
        <v>1961500.68</v>
      </c>
      <c r="F84" s="106">
        <f>'3.13.1СВОД'!D37+'3.13.1СВОД'!E37+'3.13.1СВОД'!F37+'3.13.1СВОД'!G37+'3.13.1СВОД'!H37+'3.13.1СВОД'!O37-F85</f>
        <v>3321290</v>
      </c>
      <c r="G84" s="106">
        <f>G81</f>
        <v>1961500</v>
      </c>
      <c r="H84" s="21">
        <f>'3.13.1СВОД'!D61+'3.13.1СВОД'!E61+'3.13.1СВОД'!F61+'3.13.1СВОД'!G61+'3.13.1СВОД'!H61+'3.13.1СВОД'!O61-H85</f>
        <v>3321290</v>
      </c>
      <c r="I84" s="21">
        <f>G84</f>
        <v>1961500</v>
      </c>
      <c r="J84" s="22"/>
      <c r="K84" s="21"/>
    </row>
    <row r="85" spans="1:11" x14ac:dyDescent="0.2">
      <c r="A85" s="22" t="s">
        <v>411</v>
      </c>
      <c r="B85" s="20">
        <v>2641</v>
      </c>
      <c r="C85" s="20">
        <v>247</v>
      </c>
      <c r="D85" s="106">
        <v>2100300</v>
      </c>
      <c r="E85" s="106"/>
      <c r="F85" s="106">
        <v>2100300</v>
      </c>
      <c r="G85" s="106"/>
      <c r="H85" s="21">
        <v>2100300</v>
      </c>
      <c r="I85" s="21"/>
      <c r="J85" s="22"/>
      <c r="K85" s="21"/>
    </row>
    <row r="86" spans="1:11" x14ac:dyDescent="0.2">
      <c r="A86" s="22" t="s">
        <v>30</v>
      </c>
      <c r="B86" s="20"/>
      <c r="C86" s="20"/>
      <c r="D86" s="106"/>
      <c r="E86" s="106"/>
      <c r="F86" s="106"/>
      <c r="G86" s="106"/>
      <c r="H86" s="21"/>
      <c r="I86" s="21"/>
      <c r="J86" s="22"/>
      <c r="K86" s="21"/>
    </row>
    <row r="87" spans="1:11" ht="25.5" x14ac:dyDescent="0.2">
      <c r="A87" s="22" t="s">
        <v>61</v>
      </c>
      <c r="B87" s="20">
        <v>2650</v>
      </c>
      <c r="C87" s="20">
        <v>400</v>
      </c>
      <c r="D87" s="106"/>
      <c r="E87" s="106"/>
      <c r="F87" s="106"/>
      <c r="G87" s="106"/>
      <c r="H87" s="21"/>
      <c r="I87" s="21"/>
      <c r="J87" s="22"/>
      <c r="K87" s="21"/>
    </row>
    <row r="88" spans="1:11" x14ac:dyDescent="0.2">
      <c r="A88" s="22" t="s">
        <v>15</v>
      </c>
      <c r="B88" s="208">
        <v>2651</v>
      </c>
      <c r="C88" s="208">
        <v>406</v>
      </c>
      <c r="D88" s="229"/>
      <c r="E88" s="229"/>
      <c r="F88" s="229"/>
      <c r="G88" s="229"/>
      <c r="H88" s="206"/>
      <c r="I88" s="206"/>
      <c r="J88" s="228"/>
      <c r="K88" s="206"/>
    </row>
    <row r="89" spans="1:11" ht="38.25" x14ac:dyDescent="0.2">
      <c r="A89" s="22" t="s">
        <v>62</v>
      </c>
      <c r="B89" s="209"/>
      <c r="C89" s="209"/>
      <c r="D89" s="230"/>
      <c r="E89" s="230"/>
      <c r="F89" s="207"/>
      <c r="G89" s="207"/>
      <c r="H89" s="207"/>
      <c r="I89" s="207"/>
      <c r="J89" s="207"/>
      <c r="K89" s="207"/>
    </row>
    <row r="90" spans="1:11" ht="12.75" customHeight="1" x14ac:dyDescent="0.2">
      <c r="A90" s="22" t="s">
        <v>63</v>
      </c>
      <c r="B90" s="22">
        <v>2652</v>
      </c>
      <c r="C90" s="20">
        <v>407</v>
      </c>
      <c r="D90" s="21"/>
      <c r="E90" s="21"/>
      <c r="F90" s="21"/>
      <c r="G90" s="21"/>
      <c r="H90" s="21"/>
      <c r="I90" s="21"/>
      <c r="J90" s="22"/>
      <c r="K90" s="21"/>
    </row>
    <row r="91" spans="1:11" x14ac:dyDescent="0.2">
      <c r="A91" s="22" t="s">
        <v>64</v>
      </c>
      <c r="B91" s="20">
        <v>3000</v>
      </c>
      <c r="C91" s="20">
        <v>100</v>
      </c>
      <c r="D91" s="21"/>
      <c r="E91" s="21"/>
      <c r="F91" s="21"/>
      <c r="G91" s="21"/>
      <c r="H91" s="21"/>
      <c r="I91" s="21"/>
      <c r="J91" s="20" t="s">
        <v>12</v>
      </c>
      <c r="K91" s="21"/>
    </row>
    <row r="92" spans="1:11" x14ac:dyDescent="0.2">
      <c r="A92" s="22" t="s">
        <v>15</v>
      </c>
      <c r="B92" s="208">
        <v>3010</v>
      </c>
      <c r="C92" s="208"/>
      <c r="D92" s="206"/>
      <c r="E92" s="206"/>
      <c r="F92" s="206"/>
      <c r="G92" s="206"/>
      <c r="H92" s="206"/>
      <c r="I92" s="206"/>
      <c r="J92" s="208" t="s">
        <v>12</v>
      </c>
      <c r="K92" s="206"/>
    </row>
    <row r="93" spans="1:11" ht="12.75" customHeight="1" x14ac:dyDescent="0.2">
      <c r="A93" s="22" t="s">
        <v>65</v>
      </c>
      <c r="B93" s="209"/>
      <c r="C93" s="209"/>
      <c r="D93" s="210"/>
      <c r="E93" s="210"/>
      <c r="F93" s="207"/>
      <c r="G93" s="207"/>
      <c r="H93" s="207"/>
      <c r="I93" s="207"/>
      <c r="J93" s="209"/>
      <c r="K93" s="207"/>
    </row>
    <row r="94" spans="1:11" ht="12.75" customHeight="1" x14ac:dyDescent="0.2">
      <c r="A94" s="22" t="s">
        <v>66</v>
      </c>
      <c r="B94" s="20">
        <v>3020</v>
      </c>
      <c r="C94" s="20"/>
      <c r="D94" s="21"/>
      <c r="E94" s="21"/>
      <c r="F94" s="21"/>
      <c r="G94" s="21"/>
      <c r="H94" s="21"/>
      <c r="I94" s="21"/>
      <c r="J94" s="20" t="s">
        <v>12</v>
      </c>
      <c r="K94" s="21"/>
    </row>
    <row r="95" spans="1:11" x14ac:dyDescent="0.2">
      <c r="A95" s="25" t="s">
        <v>67</v>
      </c>
      <c r="B95" s="20">
        <v>3030</v>
      </c>
      <c r="C95" s="20"/>
      <c r="D95" s="21"/>
      <c r="E95" s="21"/>
      <c r="F95" s="21"/>
      <c r="G95" s="21"/>
      <c r="H95" s="21"/>
      <c r="I95" s="21"/>
      <c r="J95" s="20" t="s">
        <v>12</v>
      </c>
      <c r="K95" s="21"/>
    </row>
    <row r="96" spans="1:11" x14ac:dyDescent="0.2">
      <c r="A96" s="22" t="s">
        <v>68</v>
      </c>
      <c r="B96" s="20">
        <v>4000</v>
      </c>
      <c r="C96" s="20" t="s">
        <v>12</v>
      </c>
      <c r="D96" s="21"/>
      <c r="E96" s="21"/>
      <c r="F96" s="21"/>
      <c r="G96" s="21"/>
      <c r="H96" s="21"/>
      <c r="I96" s="21"/>
      <c r="J96" s="20" t="s">
        <v>12</v>
      </c>
      <c r="K96" s="21"/>
    </row>
    <row r="97" spans="1:11" x14ac:dyDescent="0.2">
      <c r="A97" s="25" t="s">
        <v>30</v>
      </c>
      <c r="B97" s="20">
        <v>4010</v>
      </c>
      <c r="C97" s="20">
        <v>610</v>
      </c>
      <c r="D97" s="21"/>
      <c r="E97" s="21"/>
      <c r="F97" s="21"/>
      <c r="G97" s="21"/>
      <c r="H97" s="21"/>
      <c r="I97" s="21"/>
      <c r="J97" s="20" t="s">
        <v>12</v>
      </c>
      <c r="K97" s="21"/>
    </row>
    <row r="98" spans="1:11" x14ac:dyDescent="0.2">
      <c r="A98" s="25" t="s">
        <v>69</v>
      </c>
      <c r="B98" s="20"/>
      <c r="C98" s="20"/>
      <c r="D98" s="21"/>
      <c r="E98" s="21"/>
      <c r="F98" s="21"/>
      <c r="G98" s="21"/>
      <c r="H98" s="21"/>
      <c r="I98" s="21"/>
      <c r="J98" s="20"/>
      <c r="K98" s="21"/>
    </row>
    <row r="99" spans="1:11" x14ac:dyDescent="0.2">
      <c r="A99" s="25"/>
      <c r="B99" s="20"/>
      <c r="C99" s="20"/>
      <c r="D99" s="21"/>
      <c r="E99" s="21"/>
      <c r="F99" s="21"/>
      <c r="G99" s="21"/>
      <c r="H99" s="21"/>
      <c r="I99" s="21"/>
      <c r="J99" s="20"/>
      <c r="K99" s="21"/>
    </row>
    <row r="100" spans="1:11" x14ac:dyDescent="0.2">
      <c r="A100" s="25" t="s">
        <v>68</v>
      </c>
      <c r="B100" s="20">
        <v>4000</v>
      </c>
      <c r="C100" s="20" t="s">
        <v>12</v>
      </c>
      <c r="D100" s="21"/>
      <c r="E100" s="21"/>
      <c r="F100" s="21"/>
      <c r="G100" s="21"/>
      <c r="H100" s="21"/>
      <c r="I100" s="21"/>
      <c r="J100" s="20" t="s">
        <v>12</v>
      </c>
      <c r="K100" s="21"/>
    </row>
    <row r="101" spans="1:11" x14ac:dyDescent="0.2">
      <c r="A101" s="22" t="s">
        <v>30</v>
      </c>
      <c r="B101" s="212">
        <v>4010</v>
      </c>
      <c r="C101" s="212">
        <v>610</v>
      </c>
      <c r="D101" s="206"/>
      <c r="E101" s="206"/>
      <c r="F101" s="214"/>
      <c r="G101" s="214"/>
      <c r="H101" s="214"/>
      <c r="I101" s="214"/>
      <c r="J101" s="212" t="s">
        <v>12</v>
      </c>
      <c r="K101" s="214"/>
    </row>
    <row r="102" spans="1:11" x14ac:dyDescent="0.2">
      <c r="A102" s="22" t="s">
        <v>69</v>
      </c>
      <c r="B102" s="212"/>
      <c r="C102" s="212"/>
      <c r="D102" s="210"/>
      <c r="E102" s="210"/>
      <c r="F102" s="214"/>
      <c r="G102" s="214"/>
      <c r="H102" s="214"/>
      <c r="I102" s="214"/>
      <c r="J102" s="212"/>
      <c r="K102" s="214"/>
    </row>
    <row r="104" spans="1:11" x14ac:dyDescent="0.2">
      <c r="D104" s="29">
        <f>D9+D12-D40</f>
        <v>-2.0000003278255463E-3</v>
      </c>
      <c r="E104" s="29">
        <f>E9+E11+E12-E40</f>
        <v>0</v>
      </c>
      <c r="F104" s="29">
        <f>F12-F40</f>
        <v>-2.0000003278255463E-3</v>
      </c>
      <c r="G104" s="29">
        <f>G12-G40</f>
        <v>0</v>
      </c>
      <c r="H104" s="29">
        <f>H12-H40</f>
        <v>-2.0000003278255463E-3</v>
      </c>
      <c r="I104" s="29">
        <f>I12-I40</f>
        <v>0</v>
      </c>
      <c r="J104" s="29"/>
    </row>
  </sheetData>
  <mergeCells count="166">
    <mergeCell ref="B92:B93"/>
    <mergeCell ref="C92:C93"/>
    <mergeCell ref="D92:D93"/>
    <mergeCell ref="E92:E93"/>
    <mergeCell ref="F92:F93"/>
    <mergeCell ref="G92:G93"/>
    <mergeCell ref="H92:H93"/>
    <mergeCell ref="I92:I93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E82:E83"/>
    <mergeCell ref="F82:F83"/>
    <mergeCell ref="G82:G83"/>
    <mergeCell ref="H82:H83"/>
    <mergeCell ref="I82:I83"/>
    <mergeCell ref="B88:B89"/>
    <mergeCell ref="C88:C89"/>
    <mergeCell ref="D88:D89"/>
    <mergeCell ref="E88:E89"/>
    <mergeCell ref="F88:F89"/>
    <mergeCell ref="G88:G89"/>
    <mergeCell ref="H88:H89"/>
    <mergeCell ref="I88:I89"/>
    <mergeCell ref="D67:D68"/>
    <mergeCell ref="E67:E68"/>
    <mergeCell ref="F67:F68"/>
    <mergeCell ref="G67:G68"/>
    <mergeCell ref="H67:H68"/>
    <mergeCell ref="I67:I68"/>
    <mergeCell ref="B72:B73"/>
    <mergeCell ref="C72:C73"/>
    <mergeCell ref="D72:D73"/>
    <mergeCell ref="E72:E73"/>
    <mergeCell ref="F72:F73"/>
    <mergeCell ref="G72:G73"/>
    <mergeCell ref="H72:H73"/>
    <mergeCell ref="I72:I73"/>
    <mergeCell ref="J101:J102"/>
    <mergeCell ref="K101:K102"/>
    <mergeCell ref="B55:B56"/>
    <mergeCell ref="C55:C56"/>
    <mergeCell ref="D55:D56"/>
    <mergeCell ref="E55:E56"/>
    <mergeCell ref="F55:F56"/>
    <mergeCell ref="G55:G56"/>
    <mergeCell ref="H55:H56"/>
    <mergeCell ref="I55:I56"/>
    <mergeCell ref="B59:B60"/>
    <mergeCell ref="C59:C60"/>
    <mergeCell ref="D59:D60"/>
    <mergeCell ref="E59:E60"/>
    <mergeCell ref="F59:F60"/>
    <mergeCell ref="G59:G60"/>
    <mergeCell ref="H59:H60"/>
    <mergeCell ref="I59:I60"/>
    <mergeCell ref="B61:B62"/>
    <mergeCell ref="C61:C62"/>
    <mergeCell ref="D61:D62"/>
    <mergeCell ref="E61:E62"/>
    <mergeCell ref="F61:F62"/>
    <mergeCell ref="G61:G62"/>
    <mergeCell ref="K41:K42"/>
    <mergeCell ref="J43:J44"/>
    <mergeCell ref="K43:K44"/>
    <mergeCell ref="J48:J49"/>
    <mergeCell ref="K48:K49"/>
    <mergeCell ref="J55:J56"/>
    <mergeCell ref="K55:K56"/>
    <mergeCell ref="J59:J60"/>
    <mergeCell ref="K59:K60"/>
    <mergeCell ref="J61:J62"/>
    <mergeCell ref="K61:K62"/>
    <mergeCell ref="J67:J68"/>
    <mergeCell ref="K67:K68"/>
    <mergeCell ref="J72:J73"/>
    <mergeCell ref="K72:K73"/>
    <mergeCell ref="J82:J83"/>
    <mergeCell ref="K82:K83"/>
    <mergeCell ref="J88:J89"/>
    <mergeCell ref="K88:K89"/>
    <mergeCell ref="J92:J93"/>
    <mergeCell ref="K92:K93"/>
    <mergeCell ref="J31:J32"/>
    <mergeCell ref="K31:K32"/>
    <mergeCell ref="A4:A7"/>
    <mergeCell ref="B4:B7"/>
    <mergeCell ref="C4:C7"/>
    <mergeCell ref="D4:K4"/>
    <mergeCell ref="D5:E5"/>
    <mergeCell ref="F5:G5"/>
    <mergeCell ref="H5:I5"/>
    <mergeCell ref="J5:K6"/>
    <mergeCell ref="D6:E6"/>
    <mergeCell ref="F6:G6"/>
    <mergeCell ref="H6:I6"/>
    <mergeCell ref="K13:K14"/>
    <mergeCell ref="B20:B21"/>
    <mergeCell ref="C20:C21"/>
    <mergeCell ref="D20:D21"/>
    <mergeCell ref="E20:E21"/>
    <mergeCell ref="F20:F21"/>
    <mergeCell ref="G20:G21"/>
    <mergeCell ref="H20:H21"/>
    <mergeCell ref="I20:I21"/>
    <mergeCell ref="K20:K2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43:B44"/>
    <mergeCell ref="C43:C44"/>
    <mergeCell ref="D43:D44"/>
    <mergeCell ref="E43:E44"/>
    <mergeCell ref="F43:F44"/>
    <mergeCell ref="G43:G44"/>
    <mergeCell ref="H43:H44"/>
    <mergeCell ref="I43:I44"/>
    <mergeCell ref="J20:J21"/>
    <mergeCell ref="J41:J42"/>
    <mergeCell ref="B31:B32"/>
    <mergeCell ref="C31:C32"/>
    <mergeCell ref="D31:D32"/>
    <mergeCell ref="E31:E32"/>
    <mergeCell ref="F31:F32"/>
    <mergeCell ref="G31:G32"/>
    <mergeCell ref="H31:H32"/>
    <mergeCell ref="I31:I32"/>
    <mergeCell ref="B38:B39"/>
    <mergeCell ref="C38:C39"/>
    <mergeCell ref="B27:B28"/>
    <mergeCell ref="C27:C28"/>
    <mergeCell ref="H61:H62"/>
    <mergeCell ref="I61:I62"/>
    <mergeCell ref="B67:B68"/>
    <mergeCell ref="C67:C68"/>
    <mergeCell ref="B82:B83"/>
    <mergeCell ref="C82:C83"/>
    <mergeCell ref="D82:D83"/>
    <mergeCell ref="A1:D1"/>
    <mergeCell ref="B41:B42"/>
    <mergeCell ref="C41:C42"/>
    <mergeCell ref="D41:D42"/>
    <mergeCell ref="E41:E42"/>
    <mergeCell ref="F41:F42"/>
    <mergeCell ref="G41:G42"/>
    <mergeCell ref="H41:H42"/>
    <mergeCell ref="I41:I42"/>
    <mergeCell ref="B48:B49"/>
    <mergeCell ref="C48:C49"/>
    <mergeCell ref="D48:D49"/>
    <mergeCell ref="E48:E49"/>
    <mergeCell ref="F48:F49"/>
    <mergeCell ref="G48:G49"/>
    <mergeCell ref="H48:H49"/>
    <mergeCell ref="I48:I49"/>
  </mergeCells>
  <hyperlinks>
    <hyperlink ref="C4" location="Par1118" tooltip="&lt;3&gt; В графе 3 отражаются:" display="Par1118"/>
    <hyperlink ref="A9" location="Par1124" tooltip="&lt;4&gt; По строкам 0001 и 0002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" display="Par1124"/>
    <hyperlink ref="A10" location="Par1124" tooltip="&lt;4&gt; По строкам 0001 и 0002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" display="Par1124"/>
    <hyperlink ref="A100" location="Par1128" tooltip="&lt;8&gt; Показатели прочих выплат включают в себя в том числе показатели уменьшения денежных средств за счет возврата средств субсидий, предоставленных до начала текущего финансового года, предоставления займов (микрозаймов), размещения автономными учреждениям" display="Par1128"/>
  </hyperlinks>
  <pageMargins left="0.39370078740157483" right="0.39370078740157483" top="0.39370078740157483" bottom="0.39370078740157483" header="0.31496062992125984" footer="0.31496062992125984"/>
  <pageSetup paperSize="9" scale="8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"/>
  <sheetViews>
    <sheetView workbookViewId="0">
      <selection activeCell="I24" sqref="I24"/>
    </sheetView>
  </sheetViews>
  <sheetFormatPr defaultRowHeight="12.75" x14ac:dyDescent="0.2"/>
  <cols>
    <col min="1" max="1" width="26.5703125" style="3" customWidth="1"/>
    <col min="2" max="2" width="9.140625" style="3"/>
    <col min="3" max="11" width="17.85546875" style="3" customWidth="1"/>
    <col min="12" max="16384" width="9.140625" style="3"/>
  </cols>
  <sheetData>
    <row r="1" spans="1:11" x14ac:dyDescent="0.2">
      <c r="A1" s="3" t="s">
        <v>158</v>
      </c>
    </row>
    <row r="3" spans="1:11" ht="49.5" customHeight="1" x14ac:dyDescent="0.2">
      <c r="A3" s="241" t="s">
        <v>156</v>
      </c>
      <c r="B3" s="241" t="s">
        <v>1</v>
      </c>
      <c r="C3" s="241" t="s">
        <v>150</v>
      </c>
      <c r="D3" s="241"/>
      <c r="E3" s="241"/>
      <c r="F3" s="241" t="s">
        <v>157</v>
      </c>
      <c r="G3" s="241"/>
      <c r="H3" s="241"/>
      <c r="I3" s="241" t="s">
        <v>152</v>
      </c>
      <c r="J3" s="241"/>
      <c r="K3" s="241"/>
    </row>
    <row r="4" spans="1:11" x14ac:dyDescent="0.2">
      <c r="A4" s="241"/>
      <c r="B4" s="241"/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ht="25.5" x14ac:dyDescent="0.2">
      <c r="A5" s="241"/>
      <c r="B5" s="241"/>
      <c r="C5" s="2" t="s">
        <v>75</v>
      </c>
      <c r="D5" s="2" t="s">
        <v>76</v>
      </c>
      <c r="E5" s="2" t="s">
        <v>77</v>
      </c>
      <c r="F5" s="2" t="s">
        <v>75</v>
      </c>
      <c r="G5" s="2" t="s">
        <v>76</v>
      </c>
      <c r="H5" s="2" t="s">
        <v>77</v>
      </c>
      <c r="I5" s="2" t="s">
        <v>75</v>
      </c>
      <c r="J5" s="2" t="s">
        <v>76</v>
      </c>
      <c r="K5" s="2" t="s">
        <v>77</v>
      </c>
    </row>
    <row r="6" spans="1:1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x14ac:dyDescent="0.2">
      <c r="A7" s="6"/>
      <c r="B7" s="2">
        <v>1</v>
      </c>
      <c r="C7" s="6"/>
      <c r="D7" s="6"/>
      <c r="E7" s="6"/>
      <c r="F7" s="6"/>
      <c r="G7" s="6"/>
      <c r="H7" s="6"/>
      <c r="I7" s="6">
        <v>0</v>
      </c>
      <c r="J7" s="6"/>
      <c r="K7" s="6"/>
    </row>
    <row r="8" spans="1:11" x14ac:dyDescent="0.2">
      <c r="A8" s="6" t="s">
        <v>135</v>
      </c>
      <c r="B8" s="2">
        <v>9000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  <c r="I8" s="6">
        <f>I7</f>
        <v>0</v>
      </c>
      <c r="J8" s="6">
        <f t="shared" ref="J8:K8" si="0">J7</f>
        <v>0</v>
      </c>
      <c r="K8" s="6">
        <f t="shared" si="0"/>
        <v>0</v>
      </c>
    </row>
  </sheetData>
  <mergeCells count="5">
    <mergeCell ref="A3:A5"/>
    <mergeCell ref="B3:B5"/>
    <mergeCell ref="C3:E3"/>
    <mergeCell ref="F3:H3"/>
    <mergeCell ref="I3:K3"/>
  </mergeCells>
  <pageMargins left="0.7" right="0.7" top="0.75" bottom="0.75" header="0.3" footer="0.3"/>
  <pageSetup paperSize="9" scale="66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"/>
  <sheetViews>
    <sheetView workbookViewId="0">
      <selection activeCell="E14" sqref="E14"/>
    </sheetView>
  </sheetViews>
  <sheetFormatPr defaultRowHeight="12.75" x14ac:dyDescent="0.2"/>
  <cols>
    <col min="1" max="1" width="43.28515625" style="3" customWidth="1"/>
    <col min="2" max="2" width="9.140625" style="3"/>
    <col min="3" max="5" width="18.5703125" style="3" customWidth="1"/>
    <col min="6" max="16384" width="9.140625" style="3"/>
  </cols>
  <sheetData>
    <row r="1" spans="1:5" ht="31.5" customHeight="1" x14ac:dyDescent="0.2">
      <c r="A1" s="249" t="s">
        <v>166</v>
      </c>
      <c r="B1" s="249"/>
      <c r="C1" s="249"/>
      <c r="D1" s="249"/>
      <c r="E1" s="249"/>
    </row>
    <row r="2" spans="1:5" x14ac:dyDescent="0.2">
      <c r="A2" s="9"/>
      <c r="B2" s="10"/>
      <c r="C2" s="10"/>
      <c r="D2" s="10"/>
      <c r="E2" s="10"/>
    </row>
    <row r="3" spans="1:5" ht="32.25" customHeight="1" x14ac:dyDescent="0.2">
      <c r="A3" s="249" t="s">
        <v>167</v>
      </c>
      <c r="B3" s="249"/>
      <c r="C3" s="249"/>
      <c r="D3" s="249"/>
      <c r="E3" s="249"/>
    </row>
    <row r="5" spans="1:5" x14ac:dyDescent="0.2">
      <c r="A5" s="241" t="s">
        <v>0</v>
      </c>
      <c r="B5" s="241" t="s">
        <v>1</v>
      </c>
      <c r="C5" s="241" t="s">
        <v>115</v>
      </c>
      <c r="D5" s="241"/>
      <c r="E5" s="241"/>
    </row>
    <row r="6" spans="1:5" x14ac:dyDescent="0.2">
      <c r="A6" s="241"/>
      <c r="B6" s="241"/>
      <c r="C6" s="2" t="s">
        <v>4</v>
      </c>
      <c r="D6" s="2" t="s">
        <v>4</v>
      </c>
      <c r="E6" s="2" t="s">
        <v>4</v>
      </c>
    </row>
    <row r="7" spans="1:5" ht="25.5" x14ac:dyDescent="0.2">
      <c r="A7" s="241"/>
      <c r="B7" s="241"/>
      <c r="C7" s="2" t="s">
        <v>75</v>
      </c>
      <c r="D7" s="2" t="s">
        <v>76</v>
      </c>
      <c r="E7" s="2" t="s">
        <v>77</v>
      </c>
    </row>
    <row r="8" spans="1:5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25.5" x14ac:dyDescent="0.2">
      <c r="A9" s="6" t="s">
        <v>116</v>
      </c>
      <c r="B9" s="2">
        <v>100</v>
      </c>
      <c r="C9" s="6"/>
      <c r="D9" s="6"/>
      <c r="E9" s="6"/>
    </row>
    <row r="10" spans="1:5" ht="38.25" x14ac:dyDescent="0.2">
      <c r="A10" s="6" t="s">
        <v>159</v>
      </c>
      <c r="B10" s="2">
        <v>200</v>
      </c>
      <c r="C10" s="6"/>
      <c r="D10" s="6"/>
      <c r="E10" s="6"/>
    </row>
    <row r="11" spans="1:5" ht="25.5" x14ac:dyDescent="0.2">
      <c r="A11" s="6" t="s">
        <v>160</v>
      </c>
      <c r="B11" s="2">
        <v>300</v>
      </c>
      <c r="C11" s="6"/>
      <c r="D11" s="6"/>
      <c r="E11" s="6"/>
    </row>
    <row r="12" spans="1:5" x14ac:dyDescent="0.2">
      <c r="A12" s="6" t="s">
        <v>15</v>
      </c>
      <c r="B12" s="241">
        <v>310</v>
      </c>
      <c r="C12" s="248"/>
      <c r="D12" s="248"/>
      <c r="E12" s="248"/>
    </row>
    <row r="13" spans="1:5" x14ac:dyDescent="0.2">
      <c r="A13" s="6" t="s">
        <v>161</v>
      </c>
      <c r="B13" s="241"/>
      <c r="C13" s="248"/>
      <c r="D13" s="248"/>
      <c r="E13" s="248"/>
    </row>
    <row r="14" spans="1:5" x14ac:dyDescent="0.2">
      <c r="A14" s="6" t="s">
        <v>162</v>
      </c>
      <c r="B14" s="2">
        <v>320</v>
      </c>
      <c r="C14" s="6"/>
      <c r="D14" s="6"/>
      <c r="E14" s="6"/>
    </row>
    <row r="15" spans="1:5" x14ac:dyDescent="0.2">
      <c r="A15" s="6" t="s">
        <v>163</v>
      </c>
      <c r="B15" s="2">
        <v>330</v>
      </c>
      <c r="C15" s="6"/>
      <c r="D15" s="6"/>
      <c r="E15" s="6"/>
    </row>
    <row r="16" spans="1:5" ht="25.5" x14ac:dyDescent="0.2">
      <c r="A16" s="6" t="s">
        <v>125</v>
      </c>
      <c r="B16" s="2">
        <v>400</v>
      </c>
      <c r="C16" s="6"/>
      <c r="D16" s="6"/>
      <c r="E16" s="6"/>
    </row>
    <row r="17" spans="1:5" ht="38.25" x14ac:dyDescent="0.2">
      <c r="A17" s="6" t="s">
        <v>164</v>
      </c>
      <c r="B17" s="2">
        <v>500</v>
      </c>
      <c r="C17" s="6"/>
      <c r="D17" s="6"/>
      <c r="E17" s="6"/>
    </row>
    <row r="18" spans="1:5" ht="38.25" x14ac:dyDescent="0.2">
      <c r="A18" s="6" t="s">
        <v>165</v>
      </c>
      <c r="B18" s="2">
        <v>600</v>
      </c>
      <c r="C18" s="6"/>
      <c r="D18" s="6"/>
      <c r="E18" s="6"/>
    </row>
  </sheetData>
  <mergeCells count="9">
    <mergeCell ref="B12:B13"/>
    <mergeCell ref="C12:C13"/>
    <mergeCell ref="D12:D13"/>
    <mergeCell ref="E12:E13"/>
    <mergeCell ref="A1:E1"/>
    <mergeCell ref="A3:E3"/>
    <mergeCell ref="A5:A7"/>
    <mergeCell ref="B5:B7"/>
    <mergeCell ref="C5:E5"/>
  </mergeCells>
  <pageMargins left="0.7" right="0.7" top="0.75" bottom="0.75" header="0.3" footer="0.3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0"/>
  <sheetViews>
    <sheetView workbookViewId="0">
      <selection activeCell="C7" sqref="C7:E7"/>
    </sheetView>
  </sheetViews>
  <sheetFormatPr defaultRowHeight="12.75" x14ac:dyDescent="0.2"/>
  <cols>
    <col min="1" max="1" width="29.5703125" style="3" customWidth="1"/>
    <col min="2" max="2" width="9.140625" style="3"/>
    <col min="3" max="5" width="24.140625" style="3" customWidth="1"/>
    <col min="6" max="16384" width="9.140625" style="3"/>
  </cols>
  <sheetData>
    <row r="1" spans="1:5" ht="36.75" customHeight="1" x14ac:dyDescent="0.25">
      <c r="A1" s="252" t="s">
        <v>435</v>
      </c>
      <c r="B1" s="252"/>
      <c r="C1" s="252"/>
      <c r="D1" s="252"/>
      <c r="E1" s="252"/>
    </row>
    <row r="2" spans="1:5" ht="15.75" x14ac:dyDescent="0.25">
      <c r="A2" s="47"/>
      <c r="B2" s="47"/>
      <c r="C2" s="47"/>
      <c r="D2" s="47"/>
      <c r="E2" s="47"/>
    </row>
    <row r="3" spans="1:5" ht="30.75" customHeight="1" x14ac:dyDescent="0.25">
      <c r="A3" s="245" t="s">
        <v>436</v>
      </c>
      <c r="B3" s="245"/>
      <c r="C3" s="245"/>
      <c r="D3" s="245"/>
      <c r="E3" s="245"/>
    </row>
    <row r="4" spans="1:5" ht="15.75" x14ac:dyDescent="0.25">
      <c r="A4" s="46"/>
      <c r="B4" s="46"/>
      <c r="C4" s="46"/>
      <c r="D4" s="46"/>
      <c r="E4" s="46"/>
    </row>
    <row r="5" spans="1:5" ht="15.75" x14ac:dyDescent="0.25">
      <c r="A5" s="46"/>
      <c r="B5" s="46"/>
      <c r="C5" s="46"/>
      <c r="D5" s="46"/>
      <c r="E5" s="46"/>
    </row>
    <row r="6" spans="1:5" x14ac:dyDescent="0.2">
      <c r="A6" s="241" t="s">
        <v>0</v>
      </c>
      <c r="B6" s="241" t="s">
        <v>1</v>
      </c>
      <c r="C6" s="247" t="s">
        <v>115</v>
      </c>
      <c r="D6" s="247"/>
      <c r="E6" s="247"/>
    </row>
    <row r="7" spans="1:5" x14ac:dyDescent="0.2">
      <c r="A7" s="241"/>
      <c r="B7" s="241"/>
      <c r="C7" s="48" t="s">
        <v>418</v>
      </c>
      <c r="D7" s="48" t="s">
        <v>451</v>
      </c>
      <c r="E7" s="48" t="s">
        <v>590</v>
      </c>
    </row>
    <row r="8" spans="1:5" ht="25.5" x14ac:dyDescent="0.2">
      <c r="A8" s="241"/>
      <c r="B8" s="241"/>
      <c r="C8" s="48" t="s">
        <v>75</v>
      </c>
      <c r="D8" s="48" t="s">
        <v>76</v>
      </c>
      <c r="E8" s="48" t="s">
        <v>77</v>
      </c>
    </row>
    <row r="9" spans="1:5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38.25" x14ac:dyDescent="0.2">
      <c r="A10" s="6" t="s">
        <v>116</v>
      </c>
      <c r="B10" s="178" t="s">
        <v>501</v>
      </c>
      <c r="C10" s="5">
        <v>0</v>
      </c>
      <c r="D10" s="5"/>
      <c r="E10" s="5"/>
    </row>
    <row r="11" spans="1:5" ht="63.75" x14ac:dyDescent="0.2">
      <c r="A11" s="6" t="s">
        <v>117</v>
      </c>
      <c r="B11" s="178" t="s">
        <v>502</v>
      </c>
      <c r="C11" s="5">
        <v>0</v>
      </c>
      <c r="D11" s="5"/>
      <c r="E11" s="5"/>
    </row>
    <row r="12" spans="1:5" ht="24" customHeight="1" x14ac:dyDescent="0.2">
      <c r="A12" s="49" t="s">
        <v>433</v>
      </c>
      <c r="B12" s="178" t="s">
        <v>503</v>
      </c>
      <c r="C12" s="5">
        <f>C13</f>
        <v>252200</v>
      </c>
      <c r="D12" s="5">
        <f>D13</f>
        <v>252200</v>
      </c>
      <c r="E12" s="5">
        <f>E13</f>
        <v>252200</v>
      </c>
    </row>
    <row r="13" spans="1:5" x14ac:dyDescent="0.2">
      <c r="A13" s="6" t="s">
        <v>15</v>
      </c>
      <c r="B13" s="250" t="s">
        <v>504</v>
      </c>
      <c r="C13" s="41">
        <f>C15+C16</f>
        <v>252200</v>
      </c>
      <c r="D13" s="41">
        <f t="shared" ref="D13:E13" si="0">D15+D16</f>
        <v>252200</v>
      </c>
      <c r="E13" s="41">
        <f t="shared" si="0"/>
        <v>252200</v>
      </c>
    </row>
    <row r="14" spans="1:5" x14ac:dyDescent="0.2">
      <c r="A14" s="6" t="s">
        <v>26</v>
      </c>
      <c r="B14" s="251"/>
      <c r="C14" s="42"/>
      <c r="D14" s="42"/>
      <c r="E14" s="42"/>
    </row>
    <row r="15" spans="1:5" ht="13.5" x14ac:dyDescent="0.2">
      <c r="A15" s="63" t="s">
        <v>279</v>
      </c>
      <c r="B15" s="239"/>
      <c r="C15" s="11">
        <f>'3.13.1СВОД'!O13</f>
        <v>0</v>
      </c>
      <c r="D15" s="5">
        <f>'3.13.1СВОД'!O37</f>
        <v>0</v>
      </c>
      <c r="E15" s="5">
        <f>'3.13.1СВОД'!O61</f>
        <v>0</v>
      </c>
    </row>
    <row r="16" spans="1:5" ht="13.5" x14ac:dyDescent="0.2">
      <c r="A16" s="63" t="s">
        <v>280</v>
      </c>
      <c r="B16" s="209"/>
      <c r="C16" s="11">
        <f>'3.13.1СВОД'!G13+'3.13.1СВОД'!F13</f>
        <v>252200</v>
      </c>
      <c r="D16" s="5">
        <f>'3.13.1СВОД'!F37+'3.13.1СВОД'!G37</f>
        <v>252200</v>
      </c>
      <c r="E16" s="5">
        <f>'3.13.1СВОД'!F61+'3.13.1СВОД'!G61</f>
        <v>252200</v>
      </c>
    </row>
    <row r="17" spans="1:9" ht="25.5" x14ac:dyDescent="0.2">
      <c r="A17" s="6" t="s">
        <v>27</v>
      </c>
      <c r="B17" s="178" t="s">
        <v>505</v>
      </c>
      <c r="C17" s="5">
        <v>0</v>
      </c>
      <c r="D17" s="5"/>
      <c r="E17" s="5"/>
    </row>
    <row r="18" spans="1:9" ht="38.25" x14ac:dyDescent="0.2">
      <c r="A18" s="6" t="s">
        <v>125</v>
      </c>
      <c r="B18" s="178" t="s">
        <v>508</v>
      </c>
      <c r="C18" s="5">
        <v>0</v>
      </c>
      <c r="D18" s="5"/>
      <c r="E18" s="5"/>
      <c r="I18" s="26"/>
    </row>
    <row r="19" spans="1:9" ht="63.75" x14ac:dyDescent="0.2">
      <c r="A19" s="6" t="s">
        <v>126</v>
      </c>
      <c r="B19" s="178" t="s">
        <v>509</v>
      </c>
      <c r="C19" s="5">
        <v>0</v>
      </c>
      <c r="D19" s="5"/>
      <c r="E19" s="5"/>
    </row>
    <row r="20" spans="1:9" ht="63.75" x14ac:dyDescent="0.2">
      <c r="A20" s="6" t="s">
        <v>147</v>
      </c>
      <c r="B20" s="178" t="s">
        <v>510</v>
      </c>
      <c r="C20" s="5">
        <f>C12</f>
        <v>252200</v>
      </c>
      <c r="D20" s="5">
        <f t="shared" ref="D20:E20" si="1">D12</f>
        <v>252200</v>
      </c>
      <c r="E20" s="5">
        <f t="shared" si="1"/>
        <v>252200</v>
      </c>
    </row>
  </sheetData>
  <mergeCells count="6">
    <mergeCell ref="B13:B16"/>
    <mergeCell ref="A1:E1"/>
    <mergeCell ref="A3:E3"/>
    <mergeCell ref="A6:A8"/>
    <mergeCell ref="B6:B8"/>
    <mergeCell ref="C6:E6"/>
  </mergeCells>
  <pageMargins left="0.7" right="0.7" top="0.75" bottom="0.75" header="0.3" footer="0.3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7"/>
  <sheetViews>
    <sheetView workbookViewId="0">
      <selection activeCell="D9" sqref="D9"/>
    </sheetView>
  </sheetViews>
  <sheetFormatPr defaultRowHeight="12.75" x14ac:dyDescent="0.2"/>
  <cols>
    <col min="1" max="1" width="27.85546875" style="3" customWidth="1"/>
    <col min="2" max="2" width="9.140625" style="3"/>
    <col min="3" max="5" width="18.7109375" style="3" customWidth="1"/>
    <col min="6" max="16384" width="9.140625" style="3"/>
  </cols>
  <sheetData>
    <row r="1" spans="1:5" x14ac:dyDescent="0.2">
      <c r="A1" s="253" t="s">
        <v>171</v>
      </c>
      <c r="B1" s="253"/>
      <c r="C1" s="253"/>
      <c r="D1" s="253"/>
      <c r="E1" s="253"/>
    </row>
    <row r="2" spans="1:5" x14ac:dyDescent="0.2">
      <c r="A2" s="10"/>
      <c r="B2" s="10"/>
      <c r="C2" s="10"/>
      <c r="D2" s="10"/>
      <c r="E2" s="10"/>
    </row>
    <row r="3" spans="1:5" x14ac:dyDescent="0.2">
      <c r="A3" s="253" t="s">
        <v>172</v>
      </c>
      <c r="B3" s="253"/>
      <c r="C3" s="253"/>
      <c r="D3" s="253"/>
      <c r="E3" s="253"/>
    </row>
    <row r="5" spans="1:5" x14ac:dyDescent="0.2">
      <c r="A5" s="241" t="s">
        <v>0</v>
      </c>
      <c r="B5" s="241" t="s">
        <v>1</v>
      </c>
      <c r="C5" s="241" t="s">
        <v>115</v>
      </c>
      <c r="D5" s="241"/>
      <c r="E5" s="241"/>
    </row>
    <row r="6" spans="1:5" x14ac:dyDescent="0.2">
      <c r="A6" s="241"/>
      <c r="B6" s="241"/>
      <c r="C6" s="2" t="s">
        <v>4</v>
      </c>
      <c r="D6" s="2" t="s">
        <v>4</v>
      </c>
      <c r="E6" s="2" t="s">
        <v>4</v>
      </c>
    </row>
    <row r="7" spans="1:5" ht="25.5" x14ac:dyDescent="0.2">
      <c r="A7" s="241"/>
      <c r="B7" s="241"/>
      <c r="C7" s="2" t="s">
        <v>75</v>
      </c>
      <c r="D7" s="2" t="s">
        <v>76</v>
      </c>
      <c r="E7" s="2" t="s">
        <v>77</v>
      </c>
    </row>
    <row r="8" spans="1:5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38.25" x14ac:dyDescent="0.2">
      <c r="A9" s="6" t="s">
        <v>116</v>
      </c>
      <c r="B9" s="2">
        <v>100</v>
      </c>
      <c r="C9" s="6"/>
      <c r="D9" s="6"/>
      <c r="E9" s="6"/>
    </row>
    <row r="10" spans="1:5" ht="63.75" x14ac:dyDescent="0.2">
      <c r="A10" s="6" t="s">
        <v>117</v>
      </c>
      <c r="B10" s="2">
        <v>200</v>
      </c>
      <c r="C10" s="6"/>
      <c r="D10" s="6"/>
      <c r="E10" s="6"/>
    </row>
    <row r="11" spans="1:5" ht="25.5" x14ac:dyDescent="0.2">
      <c r="A11" s="6" t="s">
        <v>168</v>
      </c>
      <c r="B11" s="2">
        <v>300</v>
      </c>
      <c r="C11" s="6"/>
      <c r="D11" s="6"/>
      <c r="E11" s="6"/>
    </row>
    <row r="12" spans="1:5" x14ac:dyDescent="0.2">
      <c r="A12" s="6" t="s">
        <v>15</v>
      </c>
      <c r="B12" s="241">
        <v>310</v>
      </c>
      <c r="C12" s="248"/>
      <c r="D12" s="248"/>
      <c r="E12" s="248"/>
    </row>
    <row r="13" spans="1:5" ht="25.5" x14ac:dyDescent="0.2">
      <c r="A13" s="6" t="s">
        <v>169</v>
      </c>
      <c r="B13" s="241"/>
      <c r="C13" s="248"/>
      <c r="D13" s="248"/>
      <c r="E13" s="248"/>
    </row>
    <row r="14" spans="1:5" ht="25.5" x14ac:dyDescent="0.2">
      <c r="A14" s="6" t="s">
        <v>170</v>
      </c>
      <c r="B14" s="2">
        <v>320</v>
      </c>
      <c r="C14" s="6"/>
      <c r="D14" s="6"/>
      <c r="E14" s="6"/>
    </row>
    <row r="15" spans="1:5" ht="38.25" x14ac:dyDescent="0.2">
      <c r="A15" s="6" t="s">
        <v>125</v>
      </c>
      <c r="B15" s="2">
        <v>400</v>
      </c>
      <c r="C15" s="6"/>
      <c r="D15" s="6"/>
      <c r="E15" s="6"/>
    </row>
    <row r="16" spans="1:5" ht="63.75" x14ac:dyDescent="0.2">
      <c r="A16" s="6" t="s">
        <v>126</v>
      </c>
      <c r="B16" s="2">
        <v>500</v>
      </c>
      <c r="C16" s="6"/>
      <c r="D16" s="6"/>
      <c r="E16" s="6"/>
    </row>
    <row r="17" spans="1:5" ht="63.75" x14ac:dyDescent="0.2">
      <c r="A17" s="6" t="s">
        <v>147</v>
      </c>
      <c r="B17" s="2">
        <v>600</v>
      </c>
      <c r="C17" s="6"/>
      <c r="D17" s="6"/>
      <c r="E17" s="6"/>
    </row>
  </sheetData>
  <mergeCells count="9">
    <mergeCell ref="B12:B13"/>
    <mergeCell ref="C12:C13"/>
    <mergeCell ref="D12:D13"/>
    <mergeCell ref="E12:E13"/>
    <mergeCell ref="A1:E1"/>
    <mergeCell ref="A3:E3"/>
    <mergeCell ref="A5:A7"/>
    <mergeCell ref="B5:B7"/>
    <mergeCell ref="C5:E5"/>
  </mergeCells>
  <pageMargins left="0.7" right="0.7" top="0.75" bottom="0.75" header="0.3" footer="0.3"/>
  <pageSetup paperSize="9" scale="9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16"/>
  <sheetViews>
    <sheetView workbookViewId="0">
      <selection activeCell="C13" sqref="C13"/>
    </sheetView>
  </sheetViews>
  <sheetFormatPr defaultRowHeight="12.75" x14ac:dyDescent="0.2"/>
  <cols>
    <col min="1" max="1" width="32.28515625" style="3" customWidth="1"/>
    <col min="2" max="2" width="9.140625" style="3"/>
    <col min="3" max="5" width="21.42578125" style="3" customWidth="1"/>
    <col min="6" max="16384" width="9.140625" style="3"/>
  </cols>
  <sheetData>
    <row r="1" spans="1:5" ht="15.75" x14ac:dyDescent="0.25">
      <c r="A1" s="245" t="s">
        <v>179</v>
      </c>
      <c r="B1" s="245"/>
      <c r="C1" s="245"/>
      <c r="D1" s="245"/>
      <c r="E1" s="245"/>
    </row>
    <row r="2" spans="1:5" ht="15.75" x14ac:dyDescent="0.25">
      <c r="A2" s="56"/>
      <c r="B2" s="56"/>
      <c r="C2" s="56"/>
      <c r="D2" s="56"/>
      <c r="E2" s="56"/>
    </row>
    <row r="3" spans="1:5" ht="30.75" customHeight="1" x14ac:dyDescent="0.25">
      <c r="A3" s="245" t="s">
        <v>180</v>
      </c>
      <c r="B3" s="245"/>
      <c r="C3" s="245"/>
      <c r="D3" s="245"/>
      <c r="E3" s="245"/>
    </row>
    <row r="5" spans="1:5" x14ac:dyDescent="0.2">
      <c r="A5" s="241" t="s">
        <v>0</v>
      </c>
      <c r="B5" s="241" t="s">
        <v>1</v>
      </c>
      <c r="C5" s="241" t="s">
        <v>115</v>
      </c>
      <c r="D5" s="241"/>
      <c r="E5" s="241"/>
    </row>
    <row r="6" spans="1:5" x14ac:dyDescent="0.2">
      <c r="A6" s="241"/>
      <c r="B6" s="241"/>
      <c r="C6" s="204" t="s">
        <v>418</v>
      </c>
      <c r="D6" s="204" t="s">
        <v>451</v>
      </c>
      <c r="E6" s="204" t="s">
        <v>590</v>
      </c>
    </row>
    <row r="7" spans="1:5" ht="25.5" x14ac:dyDescent="0.2">
      <c r="A7" s="241"/>
      <c r="B7" s="241"/>
      <c r="C7" s="48" t="s">
        <v>75</v>
      </c>
      <c r="D7" s="48" t="s">
        <v>76</v>
      </c>
      <c r="E7" s="48" t="s">
        <v>77</v>
      </c>
    </row>
    <row r="8" spans="1:5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38.25" x14ac:dyDescent="0.2">
      <c r="A9" s="6" t="s">
        <v>173</v>
      </c>
      <c r="B9" s="178" t="s">
        <v>501</v>
      </c>
      <c r="C9" s="6"/>
      <c r="D9" s="6"/>
      <c r="E9" s="6"/>
    </row>
    <row r="10" spans="1:5" ht="38.25" x14ac:dyDescent="0.2">
      <c r="A10" s="6" t="s">
        <v>174</v>
      </c>
      <c r="B10" s="178" t="s">
        <v>502</v>
      </c>
      <c r="C10" s="6"/>
      <c r="D10" s="6"/>
      <c r="E10" s="6"/>
    </row>
    <row r="11" spans="1:5" x14ac:dyDescent="0.2">
      <c r="A11" s="6" t="s">
        <v>175</v>
      </c>
      <c r="B11" s="178" t="s">
        <v>503</v>
      </c>
      <c r="C11" s="40">
        <f>C12+C13</f>
        <v>19141096</v>
      </c>
      <c r="D11" s="5">
        <f>D12+D13</f>
        <v>18999796</v>
      </c>
      <c r="E11" s="5">
        <f>E12+E13</f>
        <v>18999796</v>
      </c>
    </row>
    <row r="12" spans="1:5" ht="13.5" x14ac:dyDescent="0.2">
      <c r="A12" s="63" t="s">
        <v>299</v>
      </c>
      <c r="B12" s="180"/>
      <c r="C12" s="43">
        <f>'3.6.3 Штатка'!P69</f>
        <v>19141096</v>
      </c>
      <c r="D12" s="5">
        <f>'3.6.3 Штатка'!P138</f>
        <v>18999796</v>
      </c>
      <c r="E12" s="5">
        <f>'3.6.3 Штатка'!P207</f>
        <v>18999796</v>
      </c>
    </row>
    <row r="13" spans="1:5" ht="27" x14ac:dyDescent="0.2">
      <c r="A13" s="63" t="s">
        <v>300</v>
      </c>
      <c r="B13" s="180"/>
      <c r="C13" s="43">
        <f>'3.6.3 Штатка'!E78</f>
        <v>0</v>
      </c>
      <c r="D13" s="5">
        <f>'3.6.3 Штатка'!E146</f>
        <v>0</v>
      </c>
      <c r="E13" s="5">
        <f>'3.6.3 Штатка'!E215</f>
        <v>0</v>
      </c>
    </row>
    <row r="14" spans="1:5" ht="38.25" x14ac:dyDescent="0.2">
      <c r="A14" s="6" t="s">
        <v>176</v>
      </c>
      <c r="B14" s="178" t="s">
        <v>508</v>
      </c>
      <c r="C14" s="6"/>
      <c r="D14" s="6"/>
      <c r="E14" s="6"/>
    </row>
    <row r="15" spans="1:5" ht="38.25" x14ac:dyDescent="0.2">
      <c r="A15" s="6" t="s">
        <v>177</v>
      </c>
      <c r="B15" s="178" t="s">
        <v>509</v>
      </c>
      <c r="C15" s="6"/>
      <c r="D15" s="6"/>
      <c r="E15" s="6"/>
    </row>
    <row r="16" spans="1:5" ht="38.25" x14ac:dyDescent="0.2">
      <c r="A16" s="6" t="s">
        <v>178</v>
      </c>
      <c r="B16" s="178" t="s">
        <v>510</v>
      </c>
      <c r="C16" s="5">
        <f>C11</f>
        <v>19141096</v>
      </c>
      <c r="D16" s="5">
        <f t="shared" ref="D16:E16" si="0">D11</f>
        <v>18999796</v>
      </c>
      <c r="E16" s="5">
        <f t="shared" si="0"/>
        <v>18999796</v>
      </c>
    </row>
  </sheetData>
  <mergeCells count="5">
    <mergeCell ref="A5:A7"/>
    <mergeCell ref="B5:B7"/>
    <mergeCell ref="C5:E5"/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244"/>
  <sheetViews>
    <sheetView topLeftCell="A37" workbookViewId="0">
      <selection activeCell="A150" sqref="A150:P206"/>
    </sheetView>
  </sheetViews>
  <sheetFormatPr defaultRowHeight="12.75" x14ac:dyDescent="0.2"/>
  <cols>
    <col min="1" max="1" width="26" style="83" customWidth="1"/>
    <col min="2" max="2" width="9.140625" style="83"/>
    <col min="3" max="3" width="10.85546875" style="83" customWidth="1"/>
    <col min="4" max="4" width="10.85546875" style="83" hidden="1" customWidth="1"/>
    <col min="5" max="5" width="13" style="83" customWidth="1"/>
    <col min="6" max="6" width="9" style="83" customWidth="1"/>
    <col min="7" max="7" width="9" style="128" customWidth="1"/>
    <col min="8" max="8" width="13" style="83" customWidth="1"/>
    <col min="9" max="9" width="13" style="128" hidden="1" customWidth="1"/>
    <col min="10" max="11" width="13" style="83" customWidth="1"/>
    <col min="12" max="12" width="14.5703125" style="83" customWidth="1"/>
    <col min="13" max="13" width="14.5703125" style="128" hidden="1" customWidth="1"/>
    <col min="14" max="16" width="13" style="83" customWidth="1"/>
    <col min="17" max="17" width="9.140625" style="83"/>
    <col min="18" max="18" width="14" style="83" customWidth="1"/>
    <col min="19" max="21" width="9.140625" style="83"/>
    <col min="22" max="22" width="17" style="83" customWidth="1"/>
    <col min="23" max="16384" width="9.140625" style="83"/>
  </cols>
  <sheetData>
    <row r="1" spans="1:18" ht="15.75" x14ac:dyDescent="0.25">
      <c r="A1" s="261" t="s">
        <v>416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8" ht="15.75" customHeight="1" x14ac:dyDescent="0.25">
      <c r="A2" s="84"/>
      <c r="B2" s="84"/>
      <c r="C2" s="85"/>
      <c r="D2" s="85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85"/>
    </row>
    <row r="3" spans="1:18" ht="15.75" x14ac:dyDescent="0.25">
      <c r="A3" s="86" t="s">
        <v>408</v>
      </c>
      <c r="B3" s="86"/>
      <c r="C3" s="46" t="s">
        <v>375</v>
      </c>
      <c r="D3" s="46"/>
      <c r="E3" s="79" t="s">
        <v>379</v>
      </c>
      <c r="F3" s="141">
        <v>621</v>
      </c>
      <c r="G3" s="141"/>
      <c r="H3" s="142"/>
      <c r="I3" s="142"/>
      <c r="J3" s="142"/>
      <c r="K3" s="142"/>
      <c r="L3" s="142"/>
      <c r="M3" s="142"/>
      <c r="N3" s="142"/>
      <c r="O3" s="142"/>
    </row>
    <row r="4" spans="1:18" x14ac:dyDescent="0.2">
      <c r="A4" s="257" t="s">
        <v>181</v>
      </c>
      <c r="B4" s="257" t="s">
        <v>1</v>
      </c>
      <c r="C4" s="257" t="s">
        <v>182</v>
      </c>
      <c r="D4" s="87"/>
      <c r="E4" s="254" t="s">
        <v>183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7" t="s">
        <v>184</v>
      </c>
    </row>
    <row r="5" spans="1:18" ht="15" customHeight="1" x14ac:dyDescent="0.2">
      <c r="A5" s="257"/>
      <c r="B5" s="257"/>
      <c r="C5" s="257"/>
      <c r="D5" s="87"/>
      <c r="E5" s="254" t="s">
        <v>185</v>
      </c>
      <c r="F5" s="254" t="s">
        <v>15</v>
      </c>
      <c r="G5" s="254"/>
      <c r="H5" s="254"/>
      <c r="I5" s="254"/>
      <c r="J5" s="254"/>
      <c r="K5" s="254"/>
      <c r="L5" s="254"/>
      <c r="M5" s="254"/>
      <c r="N5" s="254"/>
      <c r="O5" s="254"/>
      <c r="P5" s="257"/>
    </row>
    <row r="6" spans="1:18" ht="29.25" customHeight="1" x14ac:dyDescent="0.2">
      <c r="A6" s="257"/>
      <c r="B6" s="257"/>
      <c r="C6" s="257"/>
      <c r="D6" s="87"/>
      <c r="E6" s="254"/>
      <c r="F6" s="255" t="s">
        <v>186</v>
      </c>
      <c r="G6" s="256"/>
      <c r="H6" s="254" t="s">
        <v>187</v>
      </c>
      <c r="I6" s="254" t="s">
        <v>187</v>
      </c>
      <c r="J6" s="254" t="s">
        <v>188</v>
      </c>
      <c r="K6" s="254" t="s">
        <v>189</v>
      </c>
      <c r="L6" s="254"/>
      <c r="M6" s="143" t="s">
        <v>469</v>
      </c>
      <c r="N6" s="254" t="s">
        <v>190</v>
      </c>
      <c r="O6" s="254"/>
      <c r="P6" s="257"/>
    </row>
    <row r="7" spans="1:18" ht="24" customHeight="1" x14ac:dyDescent="0.2">
      <c r="A7" s="257"/>
      <c r="B7" s="257"/>
      <c r="C7" s="257"/>
      <c r="D7" s="87"/>
      <c r="E7" s="254"/>
      <c r="F7" s="120" t="s">
        <v>468</v>
      </c>
      <c r="G7" s="143" t="s">
        <v>467</v>
      </c>
      <c r="H7" s="254"/>
      <c r="I7" s="254"/>
      <c r="J7" s="254"/>
      <c r="K7" s="143" t="s">
        <v>191</v>
      </c>
      <c r="L7" s="143" t="s">
        <v>192</v>
      </c>
      <c r="M7" s="143"/>
      <c r="N7" s="143" t="s">
        <v>191</v>
      </c>
      <c r="O7" s="143" t="s">
        <v>193</v>
      </c>
      <c r="P7" s="257"/>
    </row>
    <row r="8" spans="1:18" x14ac:dyDescent="0.2">
      <c r="A8" s="87">
        <v>1</v>
      </c>
      <c r="B8" s="87">
        <v>2</v>
      </c>
      <c r="C8" s="87">
        <v>3</v>
      </c>
      <c r="D8" s="87"/>
      <c r="E8" s="143">
        <v>4</v>
      </c>
      <c r="F8" s="255">
        <v>5</v>
      </c>
      <c r="G8" s="256"/>
      <c r="H8" s="143">
        <v>6</v>
      </c>
      <c r="I8" s="143"/>
      <c r="J8" s="143">
        <v>7</v>
      </c>
      <c r="K8" s="143">
        <v>8</v>
      </c>
      <c r="L8" s="143">
        <v>9</v>
      </c>
      <c r="M8" s="143"/>
      <c r="N8" s="143">
        <v>10</v>
      </c>
      <c r="O8" s="143">
        <v>11</v>
      </c>
      <c r="P8" s="87">
        <v>12</v>
      </c>
    </row>
    <row r="9" spans="1:18" x14ac:dyDescent="0.2">
      <c r="A9" s="88" t="s">
        <v>336</v>
      </c>
      <c r="B9" s="178" t="s">
        <v>486</v>
      </c>
      <c r="C9" s="89">
        <v>5</v>
      </c>
      <c r="D9" s="90">
        <f>E9*C9</f>
        <v>102711.75999999998</v>
      </c>
      <c r="E9" s="144">
        <f>F9+H9+J9+L9+O9+G9</f>
        <v>20542.351999999995</v>
      </c>
      <c r="F9" s="144">
        <v>7623</v>
      </c>
      <c r="G9" s="144">
        <f>1143.45/5</f>
        <v>228.69</v>
      </c>
      <c r="H9" s="144">
        <f>(1524.6)/5</f>
        <v>304.91999999999996</v>
      </c>
      <c r="I9" s="144">
        <f>(1434.2+3592)/4.4</f>
        <v>1142.3181818181818</v>
      </c>
      <c r="J9" s="144">
        <f>(19819.8+3592)/C9</f>
        <v>4682.3599999999997</v>
      </c>
      <c r="K9" s="120">
        <v>30</v>
      </c>
      <c r="L9" s="144">
        <f>(F9+H9+J9+G9)*K9/100</f>
        <v>3851.6909999999998</v>
      </c>
      <c r="M9" s="144">
        <f t="shared" ref="M9:M18" si="0">(F9+G9+I9+J9)*0.6</f>
        <v>8205.8209090909077</v>
      </c>
      <c r="N9" s="120">
        <v>30</v>
      </c>
      <c r="O9" s="144">
        <f>(F9+H9+J9+G9)*N9/100</f>
        <v>3851.6909999999998</v>
      </c>
      <c r="P9" s="90">
        <f>C9*E9*12</f>
        <v>1232541.1199999996</v>
      </c>
    </row>
    <row r="10" spans="1:18" x14ac:dyDescent="0.2">
      <c r="A10" s="88" t="s">
        <v>336</v>
      </c>
      <c r="B10" s="178" t="s">
        <v>487</v>
      </c>
      <c r="C10" s="89">
        <v>11.4</v>
      </c>
      <c r="D10" s="90">
        <f t="shared" ref="D10:D18" si="1">E10*C10</f>
        <v>296511.76000000007</v>
      </c>
      <c r="E10" s="144">
        <f t="shared" ref="E10:E16" si="2">F10+H10+J10+L10+O10+G10</f>
        <v>26009.803508771933</v>
      </c>
      <c r="F10" s="144">
        <v>8683</v>
      </c>
      <c r="G10" s="144">
        <f>13892.8/C10</f>
        <v>1218.6666666666665</v>
      </c>
      <c r="H10" s="144">
        <f>8683/11.4</f>
        <v>761.66666666666663</v>
      </c>
      <c r="I10" s="144">
        <f>(6534.4+8189.76)/12</f>
        <v>1227.0133333333333</v>
      </c>
      <c r="J10" s="144">
        <f>(55137.05+8620.8)/C10</f>
        <v>5592.7938596491231</v>
      </c>
      <c r="K10" s="120">
        <v>30</v>
      </c>
      <c r="L10" s="144">
        <f>(F10+H10+J10+G10)*K10/100</f>
        <v>4876.8381578947374</v>
      </c>
      <c r="M10" s="144">
        <f t="shared" si="0"/>
        <v>10032.884315789473</v>
      </c>
      <c r="N10" s="120">
        <v>30</v>
      </c>
      <c r="O10" s="144">
        <f>(F10+H10+J10+G10)*N10/100</f>
        <v>4876.8381578947374</v>
      </c>
      <c r="P10" s="90">
        <f>(C10*E10)*12</f>
        <v>3558141.120000001</v>
      </c>
      <c r="R10" s="83">
        <v>1</v>
      </c>
    </row>
    <row r="11" spans="1:18" ht="24" x14ac:dyDescent="0.2">
      <c r="A11" s="88" t="s">
        <v>337</v>
      </c>
      <c r="B11" s="178" t="s">
        <v>488</v>
      </c>
      <c r="C11" s="89">
        <v>1</v>
      </c>
      <c r="D11" s="90">
        <f t="shared" si="1"/>
        <v>21276.799999999999</v>
      </c>
      <c r="E11" s="144">
        <f t="shared" si="2"/>
        <v>21276.799999999999</v>
      </c>
      <c r="F11" s="144">
        <v>6649</v>
      </c>
      <c r="G11" s="144">
        <v>1662.25</v>
      </c>
      <c r="H11" s="144">
        <v>332.45</v>
      </c>
      <c r="I11" s="144"/>
      <c r="J11" s="144">
        <v>4654.3</v>
      </c>
      <c r="K11" s="120">
        <v>30</v>
      </c>
      <c r="L11" s="144">
        <f>(F11+H11+J11+G11)*K11/100</f>
        <v>3989.4</v>
      </c>
      <c r="M11" s="144">
        <f t="shared" si="0"/>
        <v>7779.329999999999</v>
      </c>
      <c r="N11" s="120">
        <v>30</v>
      </c>
      <c r="O11" s="144">
        <f>(F11+H11+J11+G11)*N11/100</f>
        <v>3989.4</v>
      </c>
      <c r="P11" s="90">
        <f>(C11*E11)*12</f>
        <v>255321.59999999998</v>
      </c>
    </row>
    <row r="12" spans="1:18" x14ac:dyDescent="0.2">
      <c r="A12" s="88" t="s">
        <v>338</v>
      </c>
      <c r="B12" s="178" t="s">
        <v>511</v>
      </c>
      <c r="C12" s="89">
        <v>2</v>
      </c>
      <c r="D12" s="90">
        <f t="shared" si="1"/>
        <v>41755.727999999996</v>
      </c>
      <c r="E12" s="144">
        <f t="shared" si="2"/>
        <v>20877.863999999998</v>
      </c>
      <c r="F12" s="144">
        <v>6649</v>
      </c>
      <c r="G12" s="144">
        <f>2493.38/2</f>
        <v>1246.69</v>
      </c>
      <c r="H12" s="144">
        <f>997.35/2</f>
        <v>498.67500000000001</v>
      </c>
      <c r="I12" s="144">
        <f>938.25/2</f>
        <v>469.125</v>
      </c>
      <c r="J12" s="144">
        <f>9308.6/C12</f>
        <v>4654.3</v>
      </c>
      <c r="K12" s="120">
        <v>30</v>
      </c>
      <c r="L12" s="144">
        <f>(F12+H12+J12+G12)*K12/100</f>
        <v>3914.5995000000003</v>
      </c>
      <c r="M12" s="144">
        <f t="shared" si="0"/>
        <v>7811.469000000001</v>
      </c>
      <c r="N12" s="120">
        <v>30</v>
      </c>
      <c r="O12" s="144">
        <f>(F12+H12+J12+G12)*N12/100</f>
        <v>3914.5995000000003</v>
      </c>
      <c r="P12" s="90">
        <f>C12*E12*12-0.1</f>
        <v>501068.63599999994</v>
      </c>
    </row>
    <row r="13" spans="1:18" x14ac:dyDescent="0.2">
      <c r="A13" s="88" t="s">
        <v>339</v>
      </c>
      <c r="B13" s="178" t="s">
        <v>512</v>
      </c>
      <c r="C13" s="89">
        <v>1.06</v>
      </c>
      <c r="D13" s="90">
        <f t="shared" si="1"/>
        <v>19541.616000000002</v>
      </c>
      <c r="E13" s="144">
        <f t="shared" si="2"/>
        <v>18435.48679245283</v>
      </c>
      <c r="F13" s="144">
        <v>8683</v>
      </c>
      <c r="G13" s="144"/>
      <c r="H13" s="144">
        <f>144.14/1.06</f>
        <v>135.98113207547169</v>
      </c>
      <c r="I13" s="144">
        <f>271.18/1.06</f>
        <v>255.83018867924528</v>
      </c>
      <c r="J13" s="144">
        <f>2865.39/C13</f>
        <v>2703.1981132075471</v>
      </c>
      <c r="K13" s="120">
        <v>30</v>
      </c>
      <c r="L13" s="144">
        <f>(F13+H13+J13)*K13/100</f>
        <v>3456.653773584906</v>
      </c>
      <c r="M13" s="144">
        <f t="shared" si="0"/>
        <v>6985.2169811320755</v>
      </c>
      <c r="N13" s="120">
        <v>30</v>
      </c>
      <c r="O13" s="144">
        <f t="shared" ref="O13:O18" si="3">(F13+H13+J13)*N13/100</f>
        <v>3456.653773584906</v>
      </c>
      <c r="P13" s="90">
        <f>C13*E13*12-0.07</f>
        <v>234499.32200000001</v>
      </c>
    </row>
    <row r="14" spans="1:18" x14ac:dyDescent="0.2">
      <c r="A14" s="88" t="s">
        <v>340</v>
      </c>
      <c r="B14" s="178" t="s">
        <v>513</v>
      </c>
      <c r="C14" s="89">
        <v>1</v>
      </c>
      <c r="D14" s="90">
        <f t="shared" si="1"/>
        <v>35738.800000000003</v>
      </c>
      <c r="E14" s="144">
        <f t="shared" si="2"/>
        <v>35738.800000000003</v>
      </c>
      <c r="F14" s="144">
        <v>9505</v>
      </c>
      <c r="G14" s="144">
        <v>2376.25</v>
      </c>
      <c r="H14" s="144"/>
      <c r="I14" s="144"/>
      <c r="J14" s="144">
        <f>10455.5</f>
        <v>10455.5</v>
      </c>
      <c r="K14" s="120">
        <v>30</v>
      </c>
      <c r="L14" s="144">
        <f>(F14+H14+J14+G14)*K14/100</f>
        <v>6701.0249999999996</v>
      </c>
      <c r="M14" s="144">
        <f t="shared" si="0"/>
        <v>13402.05</v>
      </c>
      <c r="N14" s="120">
        <v>30</v>
      </c>
      <c r="O14" s="144">
        <f>(F14+H14+J14+G14)*N14/100</f>
        <v>6701.0249999999996</v>
      </c>
      <c r="P14" s="90">
        <f>C14*E14*12</f>
        <v>428865.60000000003</v>
      </c>
    </row>
    <row r="15" spans="1:18" x14ac:dyDescent="0.2">
      <c r="A15" s="88" t="s">
        <v>341</v>
      </c>
      <c r="B15" s="178" t="s">
        <v>514</v>
      </c>
      <c r="C15" s="89">
        <v>3</v>
      </c>
      <c r="D15" s="90">
        <f t="shared" si="1"/>
        <v>98091.599999999991</v>
      </c>
      <c r="E15" s="144">
        <f t="shared" si="2"/>
        <v>32697.199999999997</v>
      </c>
      <c r="F15" s="144">
        <v>9505</v>
      </c>
      <c r="G15" s="144">
        <f>7128.75/C15</f>
        <v>2376.25</v>
      </c>
      <c r="H15" s="144">
        <f>(5703)/3</f>
        <v>1901</v>
      </c>
      <c r="I15" s="144">
        <f>5365.2/3</f>
        <v>1788.3999999999999</v>
      </c>
      <c r="J15" s="144">
        <f>19960.5/C15</f>
        <v>6653.5</v>
      </c>
      <c r="K15" s="120">
        <v>30</v>
      </c>
      <c r="L15" s="144">
        <f>(F15+H15+J15+G15)*K15/100</f>
        <v>6130.7250000000004</v>
      </c>
      <c r="M15" s="144">
        <f t="shared" si="0"/>
        <v>12193.890000000001</v>
      </c>
      <c r="N15" s="120">
        <v>30</v>
      </c>
      <c r="O15" s="144">
        <f>(F15+H15+J15+G15)*N15/100</f>
        <v>6130.7250000000004</v>
      </c>
      <c r="P15" s="90">
        <f>C15*E15*12</f>
        <v>1177099.2</v>
      </c>
    </row>
    <row r="16" spans="1:18" x14ac:dyDescent="0.2">
      <c r="A16" s="101" t="s">
        <v>362</v>
      </c>
      <c r="B16" s="178" t="s">
        <v>515</v>
      </c>
      <c r="C16" s="89">
        <v>0.5</v>
      </c>
      <c r="D16" s="90">
        <f t="shared" si="1"/>
        <v>9511.2000000000007</v>
      </c>
      <c r="E16" s="144">
        <f t="shared" si="2"/>
        <v>19022.400000000001</v>
      </c>
      <c r="F16" s="144">
        <v>7926</v>
      </c>
      <c r="G16" s="144"/>
      <c r="H16" s="144">
        <f>(792.6)/0.5</f>
        <v>1585.2</v>
      </c>
      <c r="I16" s="144">
        <f>745.6/0.5</f>
        <v>1491.2</v>
      </c>
      <c r="J16" s="144">
        <f>1188.9/C16</f>
        <v>2377.8000000000002</v>
      </c>
      <c r="K16" s="120">
        <v>30</v>
      </c>
      <c r="L16" s="144">
        <f>1783.35/0.5</f>
        <v>3566.7</v>
      </c>
      <c r="M16" s="144">
        <f t="shared" si="0"/>
        <v>7077</v>
      </c>
      <c r="N16" s="120">
        <v>30</v>
      </c>
      <c r="O16" s="144">
        <f>1783.35/0.5</f>
        <v>3566.7</v>
      </c>
      <c r="P16" s="90">
        <v>114134.39999999999</v>
      </c>
    </row>
    <row r="17" spans="1:17" x14ac:dyDescent="0.2">
      <c r="A17" s="77" t="s">
        <v>342</v>
      </c>
      <c r="B17" s="178" t="s">
        <v>516</v>
      </c>
      <c r="C17" s="89"/>
      <c r="D17" s="90">
        <f t="shared" si="1"/>
        <v>0</v>
      </c>
      <c r="E17" s="144">
        <f t="shared" ref="E17" si="4">F17+H17+J17+L17+O17</f>
        <v>61409.231999999996</v>
      </c>
      <c r="F17" s="144"/>
      <c r="G17" s="144"/>
      <c r="H17" s="144"/>
      <c r="I17" s="144"/>
      <c r="J17" s="144">
        <v>38380.769999999997</v>
      </c>
      <c r="K17" s="120">
        <v>30</v>
      </c>
      <c r="L17" s="144">
        <f t="shared" ref="L17:L18" si="5">(F17+H17+J17)*K17/100</f>
        <v>11514.230999999998</v>
      </c>
      <c r="M17" s="144">
        <f t="shared" si="0"/>
        <v>23028.461999999996</v>
      </c>
      <c r="N17" s="120">
        <v>30</v>
      </c>
      <c r="O17" s="144">
        <f t="shared" si="3"/>
        <v>11514.230999999998</v>
      </c>
      <c r="P17" s="90">
        <f>E17*12+0.05+0.03+0.02</f>
        <v>736910.88400000008</v>
      </c>
    </row>
    <row r="18" spans="1:17" ht="25.5" x14ac:dyDescent="0.2">
      <c r="A18" s="89" t="s">
        <v>343</v>
      </c>
      <c r="B18" s="178" t="s">
        <v>517</v>
      </c>
      <c r="C18" s="89"/>
      <c r="D18" s="90">
        <f t="shared" si="1"/>
        <v>0</v>
      </c>
      <c r="E18" s="144">
        <f>F18+H18+J18+L18+O18</f>
        <v>222043.42079999999</v>
      </c>
      <c r="F18" s="144"/>
      <c r="G18" s="144"/>
      <c r="H18" s="144"/>
      <c r="I18" s="144"/>
      <c r="J18" s="144">
        <f>200161.188+17334.26+92778.4-171496.71</f>
        <v>138777.13800000001</v>
      </c>
      <c r="K18" s="120">
        <v>30</v>
      </c>
      <c r="L18" s="144">
        <f t="shared" si="5"/>
        <v>41633.1414</v>
      </c>
      <c r="M18" s="144">
        <f t="shared" si="0"/>
        <v>83266.282800000001</v>
      </c>
      <c r="N18" s="120">
        <v>30</v>
      </c>
      <c r="O18" s="144">
        <f t="shared" si="3"/>
        <v>41633.1414</v>
      </c>
      <c r="P18" s="90">
        <f>E18*12+0.16-0.05</f>
        <v>2664521.1596000004</v>
      </c>
    </row>
    <row r="19" spans="1:17" x14ac:dyDescent="0.2">
      <c r="A19" s="89" t="s">
        <v>135</v>
      </c>
      <c r="B19" s="87">
        <v>9000</v>
      </c>
      <c r="C19" s="87" t="s">
        <v>12</v>
      </c>
      <c r="D19" s="90">
        <f>SUM(D9:D18)</f>
        <v>625139.26399999997</v>
      </c>
      <c r="E19" s="144">
        <f>SUM(E9:E18)</f>
        <v>478053.35910122481</v>
      </c>
      <c r="F19" s="144">
        <f>SUM(F9:F18)</f>
        <v>65223</v>
      </c>
      <c r="G19" s="144">
        <f>SUM(G9:G18)</f>
        <v>9108.7966666666671</v>
      </c>
      <c r="H19" s="144">
        <f t="shared" ref="H19" si="6">SUM(H9:H18)</f>
        <v>5519.8927987421384</v>
      </c>
      <c r="I19" s="144">
        <f>SUM(I9:I18)</f>
        <v>6373.8867038307599</v>
      </c>
      <c r="J19" s="144">
        <f>SUM(J9:J18)</f>
        <v>218931.65997285667</v>
      </c>
      <c r="K19" s="144"/>
      <c r="L19" s="144">
        <f>SUM(L9:L18)</f>
        <v>89635.00483147963</v>
      </c>
      <c r="M19" s="144">
        <f>SUM(M9:M18)</f>
        <v>179782.40600601246</v>
      </c>
      <c r="N19" s="144"/>
      <c r="O19" s="144">
        <f>SUM(O9:O18)</f>
        <v>89635.00483147963</v>
      </c>
      <c r="P19" s="127">
        <f>SUM(P9:P18)+0.13-0.17</f>
        <v>10903103.001600001</v>
      </c>
    </row>
    <row r="20" spans="1:17" x14ac:dyDescent="0.2">
      <c r="A20" s="158"/>
      <c r="B20" s="159"/>
      <c r="C20" s="159"/>
      <c r="D20" s="161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205"/>
    </row>
    <row r="21" spans="1:17" x14ac:dyDescent="0.2"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7" ht="15.75" x14ac:dyDescent="0.25">
      <c r="A22" s="86" t="s">
        <v>374</v>
      </c>
      <c r="B22" s="86"/>
      <c r="C22" s="46" t="s">
        <v>375</v>
      </c>
      <c r="D22" s="46"/>
      <c r="E22" s="79" t="s">
        <v>376</v>
      </c>
      <c r="F22" s="141">
        <v>621</v>
      </c>
      <c r="G22" s="141"/>
      <c r="H22" s="142"/>
      <c r="I22" s="142"/>
      <c r="J22" s="142"/>
      <c r="K22" s="142"/>
      <c r="L22" s="142"/>
      <c r="M22" s="142"/>
      <c r="N22" s="142"/>
      <c r="O22" s="142"/>
    </row>
    <row r="23" spans="1:17" x14ac:dyDescent="0.2">
      <c r="A23" s="257" t="s">
        <v>181</v>
      </c>
      <c r="B23" s="257" t="s">
        <v>1</v>
      </c>
      <c r="C23" s="257" t="s">
        <v>182</v>
      </c>
      <c r="D23" s="87"/>
      <c r="E23" s="254" t="s">
        <v>183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7" t="s">
        <v>184</v>
      </c>
    </row>
    <row r="24" spans="1:17" x14ac:dyDescent="0.2">
      <c r="A24" s="257"/>
      <c r="B24" s="257"/>
      <c r="C24" s="257"/>
      <c r="D24" s="87"/>
      <c r="E24" s="254" t="s">
        <v>185</v>
      </c>
      <c r="F24" s="254" t="s">
        <v>15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7"/>
    </row>
    <row r="25" spans="1:17" x14ac:dyDescent="0.2">
      <c r="A25" s="257"/>
      <c r="B25" s="257"/>
      <c r="C25" s="257"/>
      <c r="D25" s="87"/>
      <c r="E25" s="254"/>
      <c r="F25" s="254" t="s">
        <v>186</v>
      </c>
      <c r="G25" s="143"/>
      <c r="H25" s="254" t="s">
        <v>187</v>
      </c>
      <c r="I25" s="143"/>
      <c r="J25" s="254" t="s">
        <v>188</v>
      </c>
      <c r="K25" s="254" t="s">
        <v>189</v>
      </c>
      <c r="L25" s="254"/>
      <c r="M25" s="143"/>
      <c r="N25" s="254" t="s">
        <v>190</v>
      </c>
      <c r="O25" s="254"/>
      <c r="P25" s="257"/>
    </row>
    <row r="26" spans="1:17" ht="38.25" x14ac:dyDescent="0.2">
      <c r="A26" s="257"/>
      <c r="B26" s="257"/>
      <c r="C26" s="257"/>
      <c r="D26" s="87"/>
      <c r="E26" s="254"/>
      <c r="F26" s="254"/>
      <c r="G26" s="143"/>
      <c r="H26" s="254"/>
      <c r="I26" s="143"/>
      <c r="J26" s="254"/>
      <c r="K26" s="143" t="s">
        <v>191</v>
      </c>
      <c r="L26" s="143" t="s">
        <v>192</v>
      </c>
      <c r="M26" s="143"/>
      <c r="N26" s="143" t="s">
        <v>191</v>
      </c>
      <c r="O26" s="143" t="s">
        <v>193</v>
      </c>
      <c r="P26" s="257"/>
    </row>
    <row r="27" spans="1:17" ht="15" customHeight="1" x14ac:dyDescent="0.2">
      <c r="A27" s="87">
        <v>1</v>
      </c>
      <c r="B27" s="87">
        <v>2</v>
      </c>
      <c r="C27" s="87">
        <v>3</v>
      </c>
      <c r="D27" s="87"/>
      <c r="E27" s="143">
        <v>4</v>
      </c>
      <c r="F27" s="143">
        <v>5</v>
      </c>
      <c r="G27" s="143"/>
      <c r="H27" s="143">
        <v>6</v>
      </c>
      <c r="I27" s="143"/>
      <c r="J27" s="143">
        <v>7</v>
      </c>
      <c r="K27" s="143">
        <v>8</v>
      </c>
      <c r="L27" s="143">
        <v>9</v>
      </c>
      <c r="M27" s="143"/>
      <c r="N27" s="143">
        <v>10</v>
      </c>
      <c r="O27" s="143">
        <v>11</v>
      </c>
      <c r="P27" s="87">
        <v>12</v>
      </c>
    </row>
    <row r="28" spans="1:17" ht="15" customHeight="1" x14ac:dyDescent="0.2">
      <c r="A28" s="89" t="s">
        <v>344</v>
      </c>
      <c r="B28" s="178" t="s">
        <v>486</v>
      </c>
      <c r="C28" s="89">
        <v>1.75</v>
      </c>
      <c r="D28" s="89">
        <f>E28*C28</f>
        <v>10234.143999999998</v>
      </c>
      <c r="E28" s="144">
        <f t="shared" ref="E28:E34" si="7">F28+H28+J28+L28+O28</f>
        <v>5848.0822857142848</v>
      </c>
      <c r="F28" s="144">
        <v>3481</v>
      </c>
      <c r="G28" s="144"/>
      <c r="H28" s="144">
        <f>(304.59)/1.75</f>
        <v>174.05142857142854</v>
      </c>
      <c r="I28" s="144"/>
      <c r="J28" s="144"/>
      <c r="K28" s="120">
        <v>30</v>
      </c>
      <c r="L28" s="144">
        <f>(F28+H28)*K28/100</f>
        <v>1096.5154285714284</v>
      </c>
      <c r="M28" s="144"/>
      <c r="N28" s="120">
        <v>30</v>
      </c>
      <c r="O28" s="144">
        <f>(F28+H28)*N28/100</f>
        <v>1096.5154285714284</v>
      </c>
      <c r="P28" s="91">
        <f>C28*E28*12-0.05</f>
        <v>122809.67799999997</v>
      </c>
      <c r="Q28" s="97"/>
    </row>
    <row r="29" spans="1:17" ht="15" customHeight="1" x14ac:dyDescent="0.2">
      <c r="A29" s="89" t="s">
        <v>344</v>
      </c>
      <c r="B29" s="178" t="s">
        <v>487</v>
      </c>
      <c r="C29" s="89">
        <v>1</v>
      </c>
      <c r="D29" s="89">
        <f t="shared" ref="D29:D32" si="8">E29*C29</f>
        <v>7457.53</v>
      </c>
      <c r="E29" s="144">
        <f t="shared" si="7"/>
        <v>7457.53</v>
      </c>
      <c r="F29" s="144">
        <v>4053</v>
      </c>
      <c r="G29" s="144"/>
      <c r="H29" s="144">
        <v>607.95000000000005</v>
      </c>
      <c r="I29" s="144"/>
      <c r="J29" s="144"/>
      <c r="K29" s="120">
        <v>30</v>
      </c>
      <c r="L29" s="144">
        <v>1398.29</v>
      </c>
      <c r="M29" s="144"/>
      <c r="N29" s="120">
        <v>30</v>
      </c>
      <c r="O29" s="144">
        <v>1398.29</v>
      </c>
      <c r="P29" s="91">
        <f>E29*12-0.12</f>
        <v>89490.240000000005</v>
      </c>
    </row>
    <row r="30" spans="1:17" x14ac:dyDescent="0.2">
      <c r="A30" s="89" t="s">
        <v>345</v>
      </c>
      <c r="B30" s="178" t="s">
        <v>488</v>
      </c>
      <c r="C30" s="89">
        <v>1.75</v>
      </c>
      <c r="D30" s="89">
        <f t="shared" si="8"/>
        <v>10234.14</v>
      </c>
      <c r="E30" s="144">
        <f>F30+H30+L30+O30</f>
        <v>5848.08</v>
      </c>
      <c r="F30" s="144">
        <v>3481</v>
      </c>
      <c r="G30" s="144"/>
      <c r="H30" s="144">
        <f>(304.59)/1.75</f>
        <v>174.05142857142854</v>
      </c>
      <c r="I30" s="144"/>
      <c r="J30" s="144"/>
      <c r="K30" s="120">
        <v>30</v>
      </c>
      <c r="L30" s="144">
        <f>1918.9/1.75</f>
        <v>1096.5142857142857</v>
      </c>
      <c r="M30" s="144"/>
      <c r="N30" s="120">
        <v>30</v>
      </c>
      <c r="O30" s="144">
        <f>1918.9/1.75</f>
        <v>1096.5142857142857</v>
      </c>
      <c r="P30" s="91">
        <f>C30*E30*12</f>
        <v>122809.68</v>
      </c>
    </row>
    <row r="31" spans="1:17" x14ac:dyDescent="0.2">
      <c r="A31" s="89" t="s">
        <v>346</v>
      </c>
      <c r="B31" s="178" t="s">
        <v>511</v>
      </c>
      <c r="C31" s="89">
        <v>1</v>
      </c>
      <c r="D31" s="89">
        <f t="shared" si="8"/>
        <v>6405.04</v>
      </c>
      <c r="E31" s="144">
        <f t="shared" si="7"/>
        <v>6405.04</v>
      </c>
      <c r="F31" s="144">
        <v>3481</v>
      </c>
      <c r="G31" s="144"/>
      <c r="H31" s="144">
        <v>522.15</v>
      </c>
      <c r="I31" s="144"/>
      <c r="J31" s="144"/>
      <c r="K31" s="120">
        <v>30</v>
      </c>
      <c r="L31" s="144">
        <f t="shared" ref="L31:L34" si="9">(F31+H31+J31)*K31/100</f>
        <v>1200.9449999999999</v>
      </c>
      <c r="M31" s="144"/>
      <c r="N31" s="120">
        <v>30</v>
      </c>
      <c r="O31" s="144">
        <f t="shared" ref="O31:O34" si="10">(F31+H31+J31)*N31/100</f>
        <v>1200.9449999999999</v>
      </c>
      <c r="P31" s="91">
        <f>C31*E31*12</f>
        <v>76860.479999999996</v>
      </c>
    </row>
    <row r="32" spans="1:17" x14ac:dyDescent="0.2">
      <c r="A32" s="89" t="s">
        <v>363</v>
      </c>
      <c r="B32" s="178" t="s">
        <v>512</v>
      </c>
      <c r="C32" s="89">
        <v>0.5</v>
      </c>
      <c r="D32" s="89">
        <f t="shared" si="8"/>
        <v>2854.41</v>
      </c>
      <c r="E32" s="144">
        <f t="shared" si="7"/>
        <v>5708.82</v>
      </c>
      <c r="F32" s="144">
        <v>3481</v>
      </c>
      <c r="G32" s="144"/>
      <c r="H32" s="144">
        <f>43.51/0.5</f>
        <v>87.02</v>
      </c>
      <c r="I32" s="144"/>
      <c r="J32" s="144"/>
      <c r="K32" s="120">
        <v>30</v>
      </c>
      <c r="L32" s="144">
        <f>535.2/0.5</f>
        <v>1070.4000000000001</v>
      </c>
      <c r="M32" s="144"/>
      <c r="N32" s="120">
        <v>30</v>
      </c>
      <c r="O32" s="144">
        <f>535.2/0.5</f>
        <v>1070.4000000000001</v>
      </c>
      <c r="P32" s="91">
        <f>C32*E32*12+0.12</f>
        <v>34253.040000000001</v>
      </c>
    </row>
    <row r="33" spans="1:21" x14ac:dyDescent="0.2">
      <c r="A33" s="89" t="s">
        <v>342</v>
      </c>
      <c r="B33" s="178" t="s">
        <v>513</v>
      </c>
      <c r="C33" s="89"/>
      <c r="D33" s="89"/>
      <c r="E33" s="144">
        <f t="shared" si="7"/>
        <v>2998.1567999999997</v>
      </c>
      <c r="F33" s="144"/>
      <c r="G33" s="144"/>
      <c r="H33" s="144"/>
      <c r="I33" s="144"/>
      <c r="J33" s="144">
        <v>1873.848</v>
      </c>
      <c r="K33" s="120">
        <v>30</v>
      </c>
      <c r="L33" s="144">
        <f t="shared" si="9"/>
        <v>562.15440000000001</v>
      </c>
      <c r="M33" s="144"/>
      <c r="N33" s="120">
        <v>30</v>
      </c>
      <c r="O33" s="144">
        <f t="shared" si="10"/>
        <v>562.15440000000001</v>
      </c>
      <c r="P33" s="90">
        <f>E33*12+0.04</f>
        <v>35977.921599999994</v>
      </c>
      <c r="Q33" s="97"/>
    </row>
    <row r="34" spans="1:21" x14ac:dyDescent="0.2">
      <c r="A34" s="89" t="s">
        <v>347</v>
      </c>
      <c r="B34" s="178" t="s">
        <v>514</v>
      </c>
      <c r="C34" s="89"/>
      <c r="D34" s="89"/>
      <c r="E34" s="144">
        <f t="shared" si="7"/>
        <v>118745.1664</v>
      </c>
      <c r="F34" s="144"/>
      <c r="G34" s="144"/>
      <c r="H34" s="144"/>
      <c r="I34" s="144"/>
      <c r="J34" s="145">
        <f>72850.729+1365</f>
        <v>74215.729000000007</v>
      </c>
      <c r="K34" s="120">
        <v>30</v>
      </c>
      <c r="L34" s="144">
        <f t="shared" si="9"/>
        <v>22264.718700000001</v>
      </c>
      <c r="M34" s="144"/>
      <c r="N34" s="120">
        <v>30</v>
      </c>
      <c r="O34" s="144">
        <f t="shared" si="10"/>
        <v>22264.718700000001</v>
      </c>
      <c r="P34" s="90">
        <f>E34*12-0.08</f>
        <v>1424941.9168</v>
      </c>
    </row>
    <row r="35" spans="1:21" x14ac:dyDescent="0.2">
      <c r="A35" s="89" t="s">
        <v>135</v>
      </c>
      <c r="B35" s="87">
        <v>9000</v>
      </c>
      <c r="C35" s="87" t="s">
        <v>12</v>
      </c>
      <c r="D35" s="87"/>
      <c r="E35" s="144">
        <f>SUM(E28:E34)</f>
        <v>153010.87548571429</v>
      </c>
      <c r="F35" s="144">
        <f>SUM(F28:F34)</f>
        <v>17977</v>
      </c>
      <c r="G35" s="144"/>
      <c r="H35" s="144">
        <f>SUM(H28:H34)</f>
        <v>1565.2228571428573</v>
      </c>
      <c r="I35" s="144"/>
      <c r="J35" s="144">
        <f>SUM(J28:J34)</f>
        <v>76089.577000000005</v>
      </c>
      <c r="K35" s="144"/>
      <c r="L35" s="144">
        <f>SUM(L28:L34)</f>
        <v>28689.537814285715</v>
      </c>
      <c r="M35" s="144"/>
      <c r="N35" s="144"/>
      <c r="O35" s="144">
        <f>SUM(O28:O34)</f>
        <v>28689.537814285715</v>
      </c>
      <c r="P35" s="127">
        <f>SUM(P28:P34)+0.04</f>
        <v>1907142.9964000001</v>
      </c>
      <c r="U35" s="97"/>
    </row>
    <row r="36" spans="1:21" x14ac:dyDescent="0.2">
      <c r="A36" s="92"/>
      <c r="B36" s="93"/>
      <c r="C36" s="93"/>
      <c r="D36" s="93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94"/>
      <c r="U36" s="97"/>
    </row>
    <row r="37" spans="1:21" x14ac:dyDescent="0.2">
      <c r="A37" s="92"/>
      <c r="B37" s="93"/>
      <c r="C37" s="93"/>
      <c r="D37" s="93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94"/>
    </row>
    <row r="38" spans="1:21" ht="15.75" x14ac:dyDescent="0.25">
      <c r="A38" s="86" t="s">
        <v>348</v>
      </c>
      <c r="B38" s="86"/>
      <c r="C38" s="46" t="s">
        <v>375</v>
      </c>
      <c r="D38" s="46"/>
      <c r="E38" s="79" t="s">
        <v>380</v>
      </c>
      <c r="F38" s="141">
        <v>621</v>
      </c>
      <c r="G38" s="141"/>
      <c r="H38" s="142"/>
      <c r="I38" s="142"/>
      <c r="J38" s="142"/>
      <c r="K38" s="142"/>
      <c r="L38" s="142"/>
      <c r="M38" s="142"/>
      <c r="N38" s="142"/>
      <c r="O38" s="142"/>
    </row>
    <row r="39" spans="1:21" x14ac:dyDescent="0.2">
      <c r="A39" s="257" t="s">
        <v>181</v>
      </c>
      <c r="B39" s="257" t="s">
        <v>1</v>
      </c>
      <c r="C39" s="257" t="s">
        <v>182</v>
      </c>
      <c r="D39" s="87"/>
      <c r="E39" s="254" t="s">
        <v>183</v>
      </c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7" t="s">
        <v>184</v>
      </c>
    </row>
    <row r="40" spans="1:21" x14ac:dyDescent="0.2">
      <c r="A40" s="257"/>
      <c r="B40" s="257"/>
      <c r="C40" s="257"/>
      <c r="D40" s="87"/>
      <c r="E40" s="254" t="s">
        <v>185</v>
      </c>
      <c r="F40" s="254" t="s">
        <v>15</v>
      </c>
      <c r="G40" s="254"/>
      <c r="H40" s="254"/>
      <c r="I40" s="254"/>
      <c r="J40" s="254"/>
      <c r="K40" s="254"/>
      <c r="L40" s="254"/>
      <c r="M40" s="254"/>
      <c r="N40" s="254"/>
      <c r="O40" s="254"/>
      <c r="P40" s="257"/>
    </row>
    <row r="41" spans="1:21" x14ac:dyDescent="0.2">
      <c r="A41" s="257"/>
      <c r="B41" s="257"/>
      <c r="C41" s="257"/>
      <c r="D41" s="87"/>
      <c r="E41" s="254"/>
      <c r="F41" s="254" t="s">
        <v>186</v>
      </c>
      <c r="G41" s="143"/>
      <c r="H41" s="254" t="s">
        <v>187</v>
      </c>
      <c r="I41" s="143"/>
      <c r="J41" s="254" t="s">
        <v>188</v>
      </c>
      <c r="K41" s="254" t="s">
        <v>189</v>
      </c>
      <c r="L41" s="254"/>
      <c r="M41" s="143"/>
      <c r="N41" s="254" t="s">
        <v>190</v>
      </c>
      <c r="O41" s="254"/>
      <c r="P41" s="257"/>
    </row>
    <row r="42" spans="1:21" ht="38.25" x14ac:dyDescent="0.2">
      <c r="A42" s="257"/>
      <c r="B42" s="257"/>
      <c r="C42" s="257"/>
      <c r="D42" s="87"/>
      <c r="E42" s="254"/>
      <c r="F42" s="254"/>
      <c r="G42" s="143"/>
      <c r="H42" s="254"/>
      <c r="I42" s="143"/>
      <c r="J42" s="254"/>
      <c r="K42" s="143" t="s">
        <v>191</v>
      </c>
      <c r="L42" s="143" t="s">
        <v>192</v>
      </c>
      <c r="M42" s="143"/>
      <c r="N42" s="143" t="s">
        <v>191</v>
      </c>
      <c r="O42" s="143" t="s">
        <v>193</v>
      </c>
      <c r="P42" s="257"/>
    </row>
    <row r="43" spans="1:21" x14ac:dyDescent="0.2">
      <c r="A43" s="87">
        <v>1</v>
      </c>
      <c r="B43" s="87">
        <v>2</v>
      </c>
      <c r="C43" s="87">
        <v>3</v>
      </c>
      <c r="D43" s="87"/>
      <c r="E43" s="143">
        <v>4</v>
      </c>
      <c r="F43" s="143">
        <v>5</v>
      </c>
      <c r="G43" s="143"/>
      <c r="H43" s="143">
        <v>6</v>
      </c>
      <c r="I43" s="143"/>
      <c r="J43" s="143">
        <v>7</v>
      </c>
      <c r="K43" s="143">
        <v>8</v>
      </c>
      <c r="L43" s="143">
        <v>9</v>
      </c>
      <c r="M43" s="143"/>
      <c r="N43" s="143">
        <v>10</v>
      </c>
      <c r="O43" s="143">
        <v>11</v>
      </c>
      <c r="P43" s="87">
        <v>12</v>
      </c>
    </row>
    <row r="44" spans="1:21" ht="15" customHeight="1" x14ac:dyDescent="0.2">
      <c r="A44" s="95" t="s">
        <v>349</v>
      </c>
      <c r="B44" s="178" t="s">
        <v>486</v>
      </c>
      <c r="C44" s="96">
        <v>1</v>
      </c>
      <c r="D44" s="96">
        <f>E44*C44</f>
        <v>41198.080000000002</v>
      </c>
      <c r="E44" s="144">
        <f>F44+H44+J44+L44+O44</f>
        <v>41198.080000000002</v>
      </c>
      <c r="F44" s="147">
        <v>18392</v>
      </c>
      <c r="G44" s="147"/>
      <c r="H44" s="147">
        <f>2758.8+4598</f>
        <v>7356.8</v>
      </c>
      <c r="I44" s="147"/>
      <c r="J44" s="143"/>
      <c r="K44" s="148">
        <v>30</v>
      </c>
      <c r="L44" s="144">
        <f t="shared" ref="L44:L54" si="11">(F44+H44+J44)*K44/100</f>
        <v>7724.64</v>
      </c>
      <c r="M44" s="144"/>
      <c r="N44" s="148">
        <v>30</v>
      </c>
      <c r="O44" s="144">
        <f t="shared" ref="O44:O54" si="12">(F44+H44+J44)*N44/100</f>
        <v>7724.64</v>
      </c>
      <c r="P44" s="90">
        <f>E44*12</f>
        <v>494376.96000000002</v>
      </c>
    </row>
    <row r="45" spans="1:21" ht="15" customHeight="1" x14ac:dyDescent="0.2">
      <c r="A45" s="95" t="s">
        <v>350</v>
      </c>
      <c r="B45" s="178" t="s">
        <v>487</v>
      </c>
      <c r="C45" s="96">
        <v>0.65</v>
      </c>
      <c r="D45" s="96">
        <f t="shared" ref="D45:D50" si="13">E45*C45</f>
        <v>33053.019999999997</v>
      </c>
      <c r="E45" s="144">
        <f>F45+H45+J45+L45+O45</f>
        <v>50850.799999999996</v>
      </c>
      <c r="F45" s="147">
        <v>16553</v>
      </c>
      <c r="G45" s="147"/>
      <c r="H45" s="147">
        <f>(2689.86+7208.83)/0.65</f>
        <v>15228.753846153846</v>
      </c>
      <c r="I45" s="147"/>
      <c r="J45" s="149"/>
      <c r="K45" s="148">
        <v>30</v>
      </c>
      <c r="L45" s="144">
        <f>6197.44/0.65</f>
        <v>9534.5230769230766</v>
      </c>
      <c r="M45" s="144"/>
      <c r="N45" s="148">
        <v>30</v>
      </c>
      <c r="O45" s="144">
        <f>6197.44/0.65</f>
        <v>9534.5230769230766</v>
      </c>
      <c r="P45" s="90">
        <v>396636.36</v>
      </c>
    </row>
    <row r="46" spans="1:21" ht="15" customHeight="1" x14ac:dyDescent="0.2">
      <c r="A46" s="95" t="s">
        <v>351</v>
      </c>
      <c r="B46" s="178" t="s">
        <v>488</v>
      </c>
      <c r="C46" s="96">
        <v>0.5</v>
      </c>
      <c r="D46" s="96">
        <f t="shared" si="13"/>
        <v>4943</v>
      </c>
      <c r="E46" s="144">
        <f>F46+H46+J46+L46+O46</f>
        <v>9886</v>
      </c>
      <c r="F46" s="147">
        <v>4943</v>
      </c>
      <c r="G46" s="147"/>
      <c r="H46" s="147">
        <f>617.88/0.5</f>
        <v>1235.76</v>
      </c>
      <c r="I46" s="147"/>
      <c r="J46" s="149"/>
      <c r="K46" s="148">
        <v>30</v>
      </c>
      <c r="L46" s="144">
        <f>926.81/0.5</f>
        <v>1853.62</v>
      </c>
      <c r="M46" s="144"/>
      <c r="N46" s="148">
        <v>30</v>
      </c>
      <c r="O46" s="144">
        <f>926.81/0.5</f>
        <v>1853.62</v>
      </c>
      <c r="P46" s="90">
        <v>59316</v>
      </c>
    </row>
    <row r="47" spans="1:21" x14ac:dyDescent="0.2">
      <c r="A47" s="95" t="s">
        <v>352</v>
      </c>
      <c r="B47" s="178" t="s">
        <v>511</v>
      </c>
      <c r="C47" s="96">
        <v>1</v>
      </c>
      <c r="D47" s="96">
        <f t="shared" si="13"/>
        <v>7457.5199999999995</v>
      </c>
      <c r="E47" s="144">
        <f t="shared" ref="E47:E54" si="14">F47+H47+J47+L47+O47</f>
        <v>7457.5199999999995</v>
      </c>
      <c r="F47" s="147">
        <v>4053</v>
      </c>
      <c r="G47" s="147"/>
      <c r="H47" s="147">
        <v>607.95000000000005</v>
      </c>
      <c r="I47" s="147"/>
      <c r="J47" s="149"/>
      <c r="K47" s="148">
        <v>30</v>
      </c>
      <c r="L47" s="144">
        <f t="shared" si="11"/>
        <v>1398.2850000000001</v>
      </c>
      <c r="M47" s="144"/>
      <c r="N47" s="148">
        <v>30</v>
      </c>
      <c r="O47" s="144">
        <f t="shared" si="12"/>
        <v>1398.2850000000001</v>
      </c>
      <c r="P47" s="90">
        <f>E47*12</f>
        <v>89490.239999999991</v>
      </c>
    </row>
    <row r="48" spans="1:21" x14ac:dyDescent="0.2">
      <c r="A48" s="95" t="s">
        <v>353</v>
      </c>
      <c r="B48" s="178" t="s">
        <v>512</v>
      </c>
      <c r="C48" s="96">
        <v>1</v>
      </c>
      <c r="D48" s="96">
        <f t="shared" si="13"/>
        <v>41051.440000000002</v>
      </c>
      <c r="E48" s="144">
        <f t="shared" si="14"/>
        <v>41051.440000000002</v>
      </c>
      <c r="F48" s="147">
        <v>16553</v>
      </c>
      <c r="G48" s="147"/>
      <c r="H48" s="147">
        <f>7448.85+1655.3</f>
        <v>9104.15</v>
      </c>
      <c r="I48" s="147"/>
      <c r="J48" s="149"/>
      <c r="K48" s="148">
        <v>30</v>
      </c>
      <c r="L48" s="144">
        <f t="shared" si="11"/>
        <v>7697.1450000000004</v>
      </c>
      <c r="M48" s="144"/>
      <c r="N48" s="148">
        <v>30</v>
      </c>
      <c r="O48" s="144">
        <f t="shared" si="12"/>
        <v>7697.1450000000004</v>
      </c>
      <c r="P48" s="90">
        <f>E48*12</f>
        <v>492617.28</v>
      </c>
    </row>
    <row r="49" spans="1:21" x14ac:dyDescent="0.2">
      <c r="A49" s="89" t="s">
        <v>354</v>
      </c>
      <c r="B49" s="178" t="s">
        <v>513</v>
      </c>
      <c r="C49" s="89">
        <v>8.5</v>
      </c>
      <c r="D49" s="96">
        <f t="shared" si="13"/>
        <v>72300.800000000003</v>
      </c>
      <c r="E49" s="144">
        <f t="shared" si="14"/>
        <v>8505.9764705882353</v>
      </c>
      <c r="F49" s="150">
        <v>4576</v>
      </c>
      <c r="G49" s="150"/>
      <c r="H49" s="150">
        <f>(2288+4004)/8.5</f>
        <v>740.23529411764707</v>
      </c>
      <c r="I49" s="150"/>
      <c r="J49" s="150"/>
      <c r="K49" s="120">
        <v>30</v>
      </c>
      <c r="L49" s="144">
        <f>13556.4/8.5</f>
        <v>1594.870588235294</v>
      </c>
      <c r="M49" s="144"/>
      <c r="N49" s="120">
        <v>30</v>
      </c>
      <c r="O49" s="144">
        <f>(F49+H49)*N49/100</f>
        <v>1594.870588235294</v>
      </c>
      <c r="P49" s="90">
        <v>867609.59999999998</v>
      </c>
    </row>
    <row r="50" spans="1:21" x14ac:dyDescent="0.2">
      <c r="A50" s="89" t="s">
        <v>364</v>
      </c>
      <c r="B50" s="178" t="s">
        <v>514</v>
      </c>
      <c r="C50" s="89">
        <v>0.5</v>
      </c>
      <c r="D50" s="96">
        <f t="shared" si="13"/>
        <v>3660.8</v>
      </c>
      <c r="E50" s="144">
        <f t="shared" si="14"/>
        <v>7321.6</v>
      </c>
      <c r="F50" s="150">
        <v>4576</v>
      </c>
      <c r="G50" s="150"/>
      <c r="H50" s="150"/>
      <c r="I50" s="150"/>
      <c r="J50" s="150"/>
      <c r="K50" s="120">
        <v>30</v>
      </c>
      <c r="L50" s="144">
        <f>686.4/0.5</f>
        <v>1372.8</v>
      </c>
      <c r="M50" s="144"/>
      <c r="N50" s="120">
        <v>30</v>
      </c>
      <c r="O50" s="144">
        <f>L50</f>
        <v>1372.8</v>
      </c>
      <c r="P50" s="90">
        <v>43929.599999999999</v>
      </c>
    </row>
    <row r="51" spans="1:21" x14ac:dyDescent="0.2">
      <c r="A51" s="89" t="s">
        <v>342</v>
      </c>
      <c r="B51" s="178" t="s">
        <v>515</v>
      </c>
      <c r="C51" s="89"/>
      <c r="D51" s="89"/>
      <c r="E51" s="144">
        <f t="shared" si="14"/>
        <v>7452.3360000000002</v>
      </c>
      <c r="F51" s="144"/>
      <c r="G51" s="144"/>
      <c r="H51" s="144"/>
      <c r="I51" s="144"/>
      <c r="J51" s="144">
        <v>4657.71</v>
      </c>
      <c r="K51" s="120">
        <v>30</v>
      </c>
      <c r="L51" s="144">
        <f t="shared" si="11"/>
        <v>1397.3129999999999</v>
      </c>
      <c r="M51" s="144"/>
      <c r="N51" s="120">
        <v>30</v>
      </c>
      <c r="O51" s="144">
        <f t="shared" si="12"/>
        <v>1397.3129999999999</v>
      </c>
      <c r="P51" s="90">
        <f>E51*12-0.02+0.07</f>
        <v>89428.082000000009</v>
      </c>
    </row>
    <row r="52" spans="1:21" ht="25.5" x14ac:dyDescent="0.2">
      <c r="A52" s="120" t="s">
        <v>448</v>
      </c>
      <c r="B52" s="178" t="s">
        <v>516</v>
      </c>
      <c r="C52" s="89"/>
      <c r="D52" s="89"/>
      <c r="E52" s="144">
        <f>F52+H52+J52+L52+O52</f>
        <v>25595.536</v>
      </c>
      <c r="F52" s="144"/>
      <c r="G52" s="144"/>
      <c r="H52" s="144"/>
      <c r="I52" s="144"/>
      <c r="J52" s="144">
        <v>15997.21</v>
      </c>
      <c r="K52" s="120">
        <v>30</v>
      </c>
      <c r="L52" s="144">
        <f t="shared" si="11"/>
        <v>4799.1629999999996</v>
      </c>
      <c r="M52" s="144"/>
      <c r="N52" s="120">
        <v>30</v>
      </c>
      <c r="O52" s="144">
        <f t="shared" si="12"/>
        <v>4799.1629999999996</v>
      </c>
      <c r="P52" s="90">
        <v>307146.36</v>
      </c>
    </row>
    <row r="53" spans="1:21" x14ac:dyDescent="0.2">
      <c r="A53" s="120" t="s">
        <v>449</v>
      </c>
      <c r="B53" s="178" t="s">
        <v>517</v>
      </c>
      <c r="C53" s="89"/>
      <c r="D53" s="89"/>
      <c r="E53" s="144">
        <f>F53+H53+J53+L53+O53</f>
        <v>3972.7200000000003</v>
      </c>
      <c r="F53" s="144"/>
      <c r="G53" s="144"/>
      <c r="H53" s="144"/>
      <c r="I53" s="144"/>
      <c r="J53" s="144">
        <v>2482.9499999999998</v>
      </c>
      <c r="K53" s="120">
        <v>30</v>
      </c>
      <c r="L53" s="144">
        <f>J53*K53/100</f>
        <v>744.88499999999999</v>
      </c>
      <c r="M53" s="144"/>
      <c r="N53" s="120">
        <v>30</v>
      </c>
      <c r="O53" s="144">
        <f>J53*30/100</f>
        <v>744.88499999999999</v>
      </c>
      <c r="P53" s="90">
        <v>47672.639999999999</v>
      </c>
    </row>
    <row r="54" spans="1:21" x14ac:dyDescent="0.2">
      <c r="A54" s="89" t="s">
        <v>347</v>
      </c>
      <c r="B54" s="178" t="s">
        <v>518</v>
      </c>
      <c r="C54" s="89"/>
      <c r="D54" s="89"/>
      <c r="E54" s="144">
        <f t="shared" si="14"/>
        <v>275110.55999999994</v>
      </c>
      <c r="F54" s="144"/>
      <c r="G54" s="144"/>
      <c r="H54" s="144"/>
      <c r="I54" s="144"/>
      <c r="J54" s="144">
        <f>144802.56-935.73+28077.27</f>
        <v>171944.09999999998</v>
      </c>
      <c r="K54" s="120">
        <v>30</v>
      </c>
      <c r="L54" s="144">
        <f t="shared" si="11"/>
        <v>51583.229999999989</v>
      </c>
      <c r="M54" s="144"/>
      <c r="N54" s="120">
        <v>30</v>
      </c>
      <c r="O54" s="144">
        <f t="shared" si="12"/>
        <v>51583.229999999989</v>
      </c>
      <c r="P54" s="90">
        <f>E54*12+0.05</f>
        <v>3301326.7699999991</v>
      </c>
    </row>
    <row r="55" spans="1:21" x14ac:dyDescent="0.2">
      <c r="A55" s="89" t="s">
        <v>135</v>
      </c>
      <c r="B55" s="87">
        <v>9000</v>
      </c>
      <c r="C55" s="87" t="s">
        <v>12</v>
      </c>
      <c r="D55" s="87"/>
      <c r="E55" s="144">
        <f>SUM(E49:E54)</f>
        <v>327958.72847058816</v>
      </c>
      <c r="F55" s="144">
        <f>SUM(F49:F54)</f>
        <v>9152</v>
      </c>
      <c r="G55" s="144"/>
      <c r="H55" s="144">
        <f>SUM(H49:H54)</f>
        <v>740.23529411764707</v>
      </c>
      <c r="I55" s="144"/>
      <c r="J55" s="144">
        <f>SUM(J49:J54)</f>
        <v>195081.96999999997</v>
      </c>
      <c r="K55" s="144"/>
      <c r="L55" s="144">
        <f>SUM(L49:L54)</f>
        <v>61492.261588235284</v>
      </c>
      <c r="M55" s="144"/>
      <c r="N55" s="144"/>
      <c r="O55" s="144">
        <f>SUM(O49:O54)</f>
        <v>61492.261588235284</v>
      </c>
      <c r="P55" s="127">
        <f>P44+P45+P46+P47+P48+P49+P50+P51+P52+P54+P53+0.1-0.06+0.07</f>
        <v>6189550.0019999985</v>
      </c>
      <c r="U55" s="97"/>
    </row>
    <row r="56" spans="1:21" x14ac:dyDescent="0.2">
      <c r="A56" s="158"/>
      <c r="B56" s="159"/>
      <c r="C56" s="159"/>
      <c r="D56" s="159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1"/>
      <c r="U56" s="97"/>
    </row>
    <row r="57" spans="1:21" x14ac:dyDescent="0.2">
      <c r="A57" s="158"/>
      <c r="B57" s="159"/>
      <c r="C57" s="159"/>
      <c r="D57" s="159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1"/>
      <c r="U57" s="97"/>
    </row>
    <row r="58" spans="1:21" ht="15.75" x14ac:dyDescent="0.2">
      <c r="A58" s="259" t="s">
        <v>480</v>
      </c>
      <c r="B58" s="260"/>
      <c r="C58" s="162" t="s">
        <v>477</v>
      </c>
      <c r="D58" s="162"/>
      <c r="E58" s="135" t="s">
        <v>541</v>
      </c>
      <c r="F58" s="163" t="s">
        <v>481</v>
      </c>
      <c r="G58" s="160"/>
      <c r="H58" s="160"/>
      <c r="I58" s="160"/>
      <c r="J58" s="160"/>
      <c r="K58" s="160"/>
      <c r="L58" s="160"/>
      <c r="M58" s="160"/>
      <c r="N58" s="160"/>
      <c r="O58" s="160"/>
      <c r="P58" s="161" t="s">
        <v>589</v>
      </c>
      <c r="U58" s="97"/>
    </row>
    <row r="59" spans="1:21" x14ac:dyDescent="0.2">
      <c r="A59" s="257" t="s">
        <v>181</v>
      </c>
      <c r="B59" s="257" t="s">
        <v>1</v>
      </c>
      <c r="C59" s="257" t="s">
        <v>182</v>
      </c>
      <c r="D59" s="134"/>
      <c r="E59" s="254" t="s">
        <v>183</v>
      </c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7" t="s">
        <v>184</v>
      </c>
      <c r="U59" s="97"/>
    </row>
    <row r="60" spans="1:21" x14ac:dyDescent="0.2">
      <c r="A60" s="257"/>
      <c r="B60" s="257"/>
      <c r="C60" s="257"/>
      <c r="D60" s="134"/>
      <c r="E60" s="254" t="s">
        <v>185</v>
      </c>
      <c r="F60" s="254" t="s">
        <v>15</v>
      </c>
      <c r="G60" s="254"/>
      <c r="H60" s="254"/>
      <c r="I60" s="254"/>
      <c r="J60" s="254"/>
      <c r="K60" s="254"/>
      <c r="L60" s="254"/>
      <c r="M60" s="254"/>
      <c r="N60" s="254"/>
      <c r="O60" s="254"/>
      <c r="P60" s="257"/>
      <c r="U60" s="97"/>
    </row>
    <row r="61" spans="1:21" x14ac:dyDescent="0.2">
      <c r="A61" s="257"/>
      <c r="B61" s="257"/>
      <c r="C61" s="257"/>
      <c r="D61" s="134"/>
      <c r="E61" s="254"/>
      <c r="F61" s="254" t="s">
        <v>186</v>
      </c>
      <c r="G61" s="143"/>
      <c r="H61" s="254" t="s">
        <v>187</v>
      </c>
      <c r="I61" s="143"/>
      <c r="J61" s="254" t="s">
        <v>188</v>
      </c>
      <c r="K61" s="254" t="s">
        <v>189</v>
      </c>
      <c r="L61" s="254"/>
      <c r="M61" s="143"/>
      <c r="N61" s="254" t="s">
        <v>190</v>
      </c>
      <c r="O61" s="254"/>
      <c r="P61" s="257"/>
      <c r="U61" s="97"/>
    </row>
    <row r="62" spans="1:21" ht="38.25" x14ac:dyDescent="0.2">
      <c r="A62" s="257"/>
      <c r="B62" s="257"/>
      <c r="C62" s="257"/>
      <c r="D62" s="134"/>
      <c r="E62" s="254"/>
      <c r="F62" s="254"/>
      <c r="G62" s="143"/>
      <c r="H62" s="254"/>
      <c r="I62" s="143"/>
      <c r="J62" s="254"/>
      <c r="K62" s="143" t="s">
        <v>191</v>
      </c>
      <c r="L62" s="143" t="s">
        <v>192</v>
      </c>
      <c r="M62" s="143"/>
      <c r="N62" s="143" t="s">
        <v>191</v>
      </c>
      <c r="O62" s="143" t="s">
        <v>193</v>
      </c>
      <c r="P62" s="257"/>
      <c r="U62" s="97"/>
    </row>
    <row r="63" spans="1:21" x14ac:dyDescent="0.2">
      <c r="A63" s="134">
        <v>1</v>
      </c>
      <c r="B63" s="134">
        <v>2</v>
      </c>
      <c r="C63" s="134">
        <v>3</v>
      </c>
      <c r="D63" s="134"/>
      <c r="E63" s="143">
        <v>4</v>
      </c>
      <c r="F63" s="143">
        <v>5</v>
      </c>
      <c r="G63" s="143"/>
      <c r="H63" s="143">
        <v>6</v>
      </c>
      <c r="I63" s="143"/>
      <c r="J63" s="143">
        <v>7</v>
      </c>
      <c r="K63" s="143">
        <v>8</v>
      </c>
      <c r="L63" s="143">
        <v>9</v>
      </c>
      <c r="M63" s="143"/>
      <c r="N63" s="143">
        <v>10</v>
      </c>
      <c r="O63" s="143">
        <v>11</v>
      </c>
      <c r="P63" s="134">
        <v>12</v>
      </c>
      <c r="U63" s="97"/>
    </row>
    <row r="64" spans="1:21" x14ac:dyDescent="0.2">
      <c r="A64" s="95" t="s">
        <v>482</v>
      </c>
      <c r="B64" s="178" t="s">
        <v>486</v>
      </c>
      <c r="C64" s="96">
        <v>0.4</v>
      </c>
      <c r="D64" s="96">
        <f>E64*C64</f>
        <v>5072.6399999999994</v>
      </c>
      <c r="E64" s="144">
        <f>F64+H64+J64+L64+O64</f>
        <v>12681.599999999999</v>
      </c>
      <c r="F64" s="147">
        <v>7926</v>
      </c>
      <c r="G64" s="147"/>
      <c r="H64" s="147"/>
      <c r="I64" s="147"/>
      <c r="J64" s="143"/>
      <c r="K64" s="148">
        <v>30</v>
      </c>
      <c r="L64" s="144">
        <f>951.12/0.4</f>
        <v>2377.7999999999997</v>
      </c>
      <c r="M64" s="144"/>
      <c r="N64" s="148">
        <v>30</v>
      </c>
      <c r="O64" s="144">
        <f t="shared" ref="O64" si="15">(F64+H64+J64)*N64/100</f>
        <v>2377.8000000000002</v>
      </c>
      <c r="P64" s="90">
        <f>D64*5</f>
        <v>25363.199999999997</v>
      </c>
      <c r="U64" s="97"/>
    </row>
    <row r="65" spans="1:21" x14ac:dyDescent="0.2">
      <c r="A65" s="95" t="s">
        <v>483</v>
      </c>
      <c r="B65" s="178" t="s">
        <v>487</v>
      </c>
      <c r="C65" s="96"/>
      <c r="D65" s="96"/>
      <c r="E65" s="144">
        <f>F65+H65+J65+L65+O65</f>
        <v>23187.360000000001</v>
      </c>
      <c r="F65" s="147"/>
      <c r="G65" s="147"/>
      <c r="H65" s="147"/>
      <c r="I65" s="147"/>
      <c r="J65" s="147">
        <v>14492.1</v>
      </c>
      <c r="K65" s="148">
        <v>30</v>
      </c>
      <c r="L65" s="144">
        <f>J65*K65/100</f>
        <v>4347.63</v>
      </c>
      <c r="M65" s="144"/>
      <c r="N65" s="148">
        <v>30</v>
      </c>
      <c r="O65" s="144">
        <f>L65</f>
        <v>4347.63</v>
      </c>
      <c r="P65" s="90">
        <f>E65*5</f>
        <v>115936.8</v>
      </c>
      <c r="U65" s="97"/>
    </row>
    <row r="66" spans="1:21" x14ac:dyDescent="0.2">
      <c r="A66" s="89" t="s">
        <v>135</v>
      </c>
      <c r="B66" s="134">
        <v>9000</v>
      </c>
      <c r="C66" s="134" t="s">
        <v>12</v>
      </c>
      <c r="D66" s="134"/>
      <c r="E66" s="144">
        <f>SUM(E64:E65)</f>
        <v>35868.959999999999</v>
      </c>
      <c r="F66" s="144">
        <f>SUM(F64:F65)</f>
        <v>7926</v>
      </c>
      <c r="G66" s="144"/>
      <c r="H66" s="144"/>
      <c r="I66" s="144"/>
      <c r="J66" s="144">
        <f>J65</f>
        <v>14492.1</v>
      </c>
      <c r="K66" s="144"/>
      <c r="L66" s="144">
        <f>SUM(L64:M65)</f>
        <v>6725.43</v>
      </c>
      <c r="M66" s="144"/>
      <c r="N66" s="144"/>
      <c r="O66" s="144">
        <f>SUM(O64:O65)</f>
        <v>6725.43</v>
      </c>
      <c r="P66" s="127">
        <f>P64+P65</f>
        <v>141300</v>
      </c>
      <c r="U66" s="97"/>
    </row>
    <row r="67" spans="1:2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2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R68" s="97"/>
    </row>
    <row r="69" spans="1:2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82">
        <f>P19+P35+P55+P66</f>
        <v>19141096</v>
      </c>
      <c r="R69" s="97"/>
    </row>
    <row r="70" spans="1:21" ht="15.75" x14ac:dyDescent="0.25">
      <c r="A70" s="151" t="s">
        <v>385</v>
      </c>
      <c r="B70" s="79" t="s">
        <v>375</v>
      </c>
      <c r="C70" s="79" t="s">
        <v>384</v>
      </c>
      <c r="D70" s="79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82"/>
    </row>
    <row r="71" spans="1:21" ht="76.5" x14ac:dyDescent="0.2">
      <c r="A71" s="143" t="s">
        <v>319</v>
      </c>
      <c r="B71" s="143" t="s">
        <v>1</v>
      </c>
      <c r="C71" s="143" t="s">
        <v>365</v>
      </c>
      <c r="D71" s="143"/>
      <c r="E71" s="143" t="s">
        <v>366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21" ht="25.5" customHeight="1" x14ac:dyDescent="0.2">
      <c r="A72" s="64" t="s">
        <v>335</v>
      </c>
      <c r="B72" s="178" t="s">
        <v>486</v>
      </c>
      <c r="C72" s="153">
        <f>E72/12</f>
        <v>0</v>
      </c>
      <c r="D72" s="153"/>
      <c r="E72" s="123">
        <v>0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21" ht="39" customHeight="1" x14ac:dyDescent="0.2">
      <c r="A73" s="124" t="s">
        <v>420</v>
      </c>
      <c r="B73" s="178" t="s">
        <v>487</v>
      </c>
      <c r="C73" s="154">
        <f>E73/11</f>
        <v>0</v>
      </c>
      <c r="D73" s="154"/>
      <c r="E73" s="116">
        <v>0</v>
      </c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21" ht="42" customHeight="1" x14ac:dyDescent="0.2">
      <c r="A74" s="125" t="s">
        <v>421</v>
      </c>
      <c r="B74" s="178" t="s">
        <v>488</v>
      </c>
      <c r="C74" s="154">
        <f>E74/9</f>
        <v>0</v>
      </c>
      <c r="D74" s="154"/>
      <c r="E74" s="116">
        <v>0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21" ht="29.25" customHeight="1" x14ac:dyDescent="0.2">
      <c r="A75" s="64" t="s">
        <v>419</v>
      </c>
      <c r="B75" s="178" t="s">
        <v>511</v>
      </c>
      <c r="C75" s="154">
        <f>E75/9</f>
        <v>0</v>
      </c>
      <c r="D75" s="154"/>
      <c r="E75" s="116">
        <v>0</v>
      </c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21" ht="33.75" customHeight="1" x14ac:dyDescent="0.2">
      <c r="A76" s="126" t="s">
        <v>422</v>
      </c>
      <c r="B76" s="178" t="s">
        <v>512</v>
      </c>
      <c r="C76" s="154">
        <f>E76/11</f>
        <v>0</v>
      </c>
      <c r="D76" s="154"/>
      <c r="E76" s="116">
        <v>0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21" ht="33.75" customHeight="1" x14ac:dyDescent="0.2">
      <c r="A77" s="155" t="s">
        <v>447</v>
      </c>
      <c r="B77" s="178" t="s">
        <v>513</v>
      </c>
      <c r="C77" s="154">
        <f>E77/8</f>
        <v>0</v>
      </c>
      <c r="D77" s="154"/>
      <c r="E77" s="116"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21" ht="25.5" customHeight="1" x14ac:dyDescent="0.2">
      <c r="A78" s="116" t="s">
        <v>320</v>
      </c>
      <c r="B78" s="116">
        <v>9000</v>
      </c>
      <c r="C78" s="116"/>
      <c r="D78" s="116"/>
      <c r="E78" s="156">
        <f>SUM(E72:E77)</f>
        <v>0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1:21" ht="15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1:2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1:16" ht="15.75" customHeight="1" x14ac:dyDescent="0.25">
      <c r="A81" s="258" t="s">
        <v>450</v>
      </c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</row>
    <row r="82" spans="1:16" ht="15.75" x14ac:dyDescent="0.25">
      <c r="A82" s="157"/>
      <c r="B82" s="157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</row>
    <row r="83" spans="1:16" ht="15.75" x14ac:dyDescent="0.25">
      <c r="A83" s="86" t="s">
        <v>408</v>
      </c>
      <c r="B83" s="86"/>
      <c r="C83" s="46" t="s">
        <v>375</v>
      </c>
      <c r="D83" s="46"/>
      <c r="E83" s="79" t="s">
        <v>379</v>
      </c>
      <c r="F83" s="141">
        <v>621</v>
      </c>
      <c r="G83" s="141"/>
      <c r="H83" s="142"/>
      <c r="I83" s="142"/>
      <c r="J83" s="142"/>
      <c r="K83" s="142"/>
      <c r="L83" s="142"/>
      <c r="M83" s="142"/>
      <c r="N83" s="142"/>
      <c r="O83" s="142"/>
    </row>
    <row r="84" spans="1:16" ht="12.75" customHeight="1" x14ac:dyDescent="0.2">
      <c r="A84" s="257" t="s">
        <v>181</v>
      </c>
      <c r="B84" s="257" t="s">
        <v>1</v>
      </c>
      <c r="C84" s="257" t="s">
        <v>182</v>
      </c>
      <c r="D84" s="137"/>
      <c r="E84" s="254" t="s">
        <v>183</v>
      </c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7" t="s">
        <v>184</v>
      </c>
    </row>
    <row r="85" spans="1:16" ht="15" customHeight="1" x14ac:dyDescent="0.2">
      <c r="A85" s="257"/>
      <c r="B85" s="257"/>
      <c r="C85" s="257"/>
      <c r="D85" s="137"/>
      <c r="E85" s="254" t="s">
        <v>185</v>
      </c>
      <c r="F85" s="254" t="s">
        <v>15</v>
      </c>
      <c r="G85" s="254"/>
      <c r="H85" s="254"/>
      <c r="I85" s="254"/>
      <c r="J85" s="254"/>
      <c r="K85" s="254"/>
      <c r="L85" s="254"/>
      <c r="M85" s="254"/>
      <c r="N85" s="254"/>
      <c r="O85" s="254"/>
      <c r="P85" s="257"/>
    </row>
    <row r="86" spans="1:16" ht="15" customHeight="1" x14ac:dyDescent="0.2">
      <c r="A86" s="257"/>
      <c r="B86" s="257"/>
      <c r="C86" s="257"/>
      <c r="D86" s="137"/>
      <c r="E86" s="254"/>
      <c r="F86" s="255" t="s">
        <v>186</v>
      </c>
      <c r="G86" s="256"/>
      <c r="H86" s="254" t="s">
        <v>187</v>
      </c>
      <c r="I86" s="254" t="s">
        <v>187</v>
      </c>
      <c r="J86" s="254" t="s">
        <v>188</v>
      </c>
      <c r="K86" s="254" t="s">
        <v>189</v>
      </c>
      <c r="L86" s="254"/>
      <c r="M86" s="143" t="s">
        <v>469</v>
      </c>
      <c r="N86" s="254" t="s">
        <v>190</v>
      </c>
      <c r="O86" s="254"/>
      <c r="P86" s="257"/>
    </row>
    <row r="87" spans="1:16" ht="24" customHeight="1" x14ac:dyDescent="0.2">
      <c r="A87" s="257"/>
      <c r="B87" s="257"/>
      <c r="C87" s="257"/>
      <c r="D87" s="137"/>
      <c r="E87" s="254"/>
      <c r="F87" s="120" t="s">
        <v>468</v>
      </c>
      <c r="G87" s="143" t="s">
        <v>467</v>
      </c>
      <c r="H87" s="254"/>
      <c r="I87" s="254"/>
      <c r="J87" s="254"/>
      <c r="K87" s="143" t="s">
        <v>191</v>
      </c>
      <c r="L87" s="143" t="s">
        <v>192</v>
      </c>
      <c r="M87" s="143"/>
      <c r="N87" s="143" t="s">
        <v>191</v>
      </c>
      <c r="O87" s="143" t="s">
        <v>193</v>
      </c>
      <c r="P87" s="257"/>
    </row>
    <row r="88" spans="1:16" x14ac:dyDescent="0.2">
      <c r="A88" s="137">
        <v>1</v>
      </c>
      <c r="B88" s="137">
        <v>2</v>
      </c>
      <c r="C88" s="137">
        <v>3</v>
      </c>
      <c r="D88" s="137"/>
      <c r="E88" s="143">
        <v>4</v>
      </c>
      <c r="F88" s="255">
        <v>5</v>
      </c>
      <c r="G88" s="256"/>
      <c r="H88" s="143">
        <v>6</v>
      </c>
      <c r="I88" s="143"/>
      <c r="J88" s="143">
        <v>7</v>
      </c>
      <c r="K88" s="143">
        <v>8</v>
      </c>
      <c r="L88" s="143">
        <v>9</v>
      </c>
      <c r="M88" s="143"/>
      <c r="N88" s="143">
        <v>10</v>
      </c>
      <c r="O88" s="143">
        <v>11</v>
      </c>
      <c r="P88" s="137">
        <v>12</v>
      </c>
    </row>
    <row r="89" spans="1:16" x14ac:dyDescent="0.2">
      <c r="A89" s="88" t="s">
        <v>336</v>
      </c>
      <c r="B89" s="179" t="s">
        <v>486</v>
      </c>
      <c r="C89" s="89">
        <v>5</v>
      </c>
      <c r="D89" s="90">
        <f>E89*C89</f>
        <v>102711.75999999998</v>
      </c>
      <c r="E89" s="144">
        <f>F89+H89+J89+L89+O89+G89</f>
        <v>20542.351999999995</v>
      </c>
      <c r="F89" s="144">
        <v>7623</v>
      </c>
      <c r="G89" s="144">
        <f>1143.45/5</f>
        <v>228.69</v>
      </c>
      <c r="H89" s="144">
        <f>(1524.6)/5</f>
        <v>304.91999999999996</v>
      </c>
      <c r="I89" s="144">
        <f>(1434.2+3592)/4.4</f>
        <v>1142.3181818181818</v>
      </c>
      <c r="J89" s="144">
        <f>(19819.8+3592)/C89</f>
        <v>4682.3599999999997</v>
      </c>
      <c r="K89" s="120">
        <v>30</v>
      </c>
      <c r="L89" s="144">
        <f>(F89+H89+J89+G89)*K89/100</f>
        <v>3851.6909999999998</v>
      </c>
      <c r="M89" s="144">
        <f t="shared" ref="M89:M98" si="16">(F89+G89+I89+J89)*0.6</f>
        <v>8205.8209090909077</v>
      </c>
      <c r="N89" s="120">
        <v>30</v>
      </c>
      <c r="O89" s="144">
        <f>(F89+H89+J89+G89)*N89/100</f>
        <v>3851.6909999999998</v>
      </c>
      <c r="P89" s="90">
        <f>C89*E89*12</f>
        <v>1232541.1199999996</v>
      </c>
    </row>
    <row r="90" spans="1:16" x14ac:dyDescent="0.2">
      <c r="A90" s="88" t="s">
        <v>336</v>
      </c>
      <c r="B90" s="179" t="s">
        <v>487</v>
      </c>
      <c r="C90" s="89">
        <v>11.4</v>
      </c>
      <c r="D90" s="90">
        <f t="shared" ref="D90:D98" si="17">E90*C90</f>
        <v>296511.76000000007</v>
      </c>
      <c r="E90" s="144">
        <f t="shared" ref="E90:E96" si="18">F90+H90+J90+L90+O90+G90</f>
        <v>26009.803508771933</v>
      </c>
      <c r="F90" s="144">
        <v>8683</v>
      </c>
      <c r="G90" s="144">
        <f>13892.8/C90</f>
        <v>1218.6666666666665</v>
      </c>
      <c r="H90" s="144">
        <f>8683/11.4</f>
        <v>761.66666666666663</v>
      </c>
      <c r="I90" s="144">
        <f>(6534.4+8189.76)/12</f>
        <v>1227.0133333333333</v>
      </c>
      <c r="J90" s="144">
        <f>(55137.05+8620.8)/C90</f>
        <v>5592.7938596491231</v>
      </c>
      <c r="K90" s="120">
        <v>30</v>
      </c>
      <c r="L90" s="144">
        <f>(F90+H90+J90+G90)*K90/100</f>
        <v>4876.8381578947374</v>
      </c>
      <c r="M90" s="144">
        <f t="shared" si="16"/>
        <v>10032.884315789473</v>
      </c>
      <c r="N90" s="120">
        <v>30</v>
      </c>
      <c r="O90" s="144">
        <f>(F90+H90+J90+G90)*N90/100</f>
        <v>4876.8381578947374</v>
      </c>
      <c r="P90" s="90">
        <f>(C90*E90)*12</f>
        <v>3558141.120000001</v>
      </c>
    </row>
    <row r="91" spans="1:16" ht="24" x14ac:dyDescent="0.2">
      <c r="A91" s="88" t="s">
        <v>337</v>
      </c>
      <c r="B91" s="179" t="s">
        <v>488</v>
      </c>
      <c r="C91" s="89">
        <v>1</v>
      </c>
      <c r="D91" s="90">
        <f t="shared" si="17"/>
        <v>21276.799999999999</v>
      </c>
      <c r="E91" s="144">
        <f t="shared" si="18"/>
        <v>21276.799999999999</v>
      </c>
      <c r="F91" s="144">
        <v>6649</v>
      </c>
      <c r="G91" s="144">
        <v>1662.25</v>
      </c>
      <c r="H91" s="144">
        <v>332.45</v>
      </c>
      <c r="I91" s="144"/>
      <c r="J91" s="144">
        <v>4654.3</v>
      </c>
      <c r="K91" s="120">
        <v>30</v>
      </c>
      <c r="L91" s="144">
        <f>(F91+H91+J91+G91)*K91/100</f>
        <v>3989.4</v>
      </c>
      <c r="M91" s="144">
        <f t="shared" si="16"/>
        <v>7779.329999999999</v>
      </c>
      <c r="N91" s="120">
        <v>30</v>
      </c>
      <c r="O91" s="144">
        <f>(F91+H91+J91+G91)*N91/100</f>
        <v>3989.4</v>
      </c>
      <c r="P91" s="90">
        <f>(C91*E91)*12</f>
        <v>255321.59999999998</v>
      </c>
    </row>
    <row r="92" spans="1:16" x14ac:dyDescent="0.2">
      <c r="A92" s="88" t="s">
        <v>338</v>
      </c>
      <c r="B92" s="179" t="s">
        <v>511</v>
      </c>
      <c r="C92" s="89">
        <v>2</v>
      </c>
      <c r="D92" s="90">
        <f t="shared" si="17"/>
        <v>41755.727999999996</v>
      </c>
      <c r="E92" s="144">
        <f t="shared" si="18"/>
        <v>20877.863999999998</v>
      </c>
      <c r="F92" s="144">
        <v>6649</v>
      </c>
      <c r="G92" s="144">
        <f>2493.38/2</f>
        <v>1246.69</v>
      </c>
      <c r="H92" s="144">
        <f>997.35/2</f>
        <v>498.67500000000001</v>
      </c>
      <c r="I92" s="144">
        <f>938.25/2</f>
        <v>469.125</v>
      </c>
      <c r="J92" s="144">
        <f>9308.6/C92</f>
        <v>4654.3</v>
      </c>
      <c r="K92" s="120">
        <v>30</v>
      </c>
      <c r="L92" s="144">
        <f>(F92+H92+J92+G92)*K92/100</f>
        <v>3914.5995000000003</v>
      </c>
      <c r="M92" s="144">
        <f t="shared" si="16"/>
        <v>7811.469000000001</v>
      </c>
      <c r="N92" s="120">
        <v>30</v>
      </c>
      <c r="O92" s="144">
        <f>(F92+H92+J92+G92)*N92/100</f>
        <v>3914.5995000000003</v>
      </c>
      <c r="P92" s="90">
        <f>C92*E92*12-0.1</f>
        <v>501068.63599999994</v>
      </c>
    </row>
    <row r="93" spans="1:16" x14ac:dyDescent="0.2">
      <c r="A93" s="88" t="s">
        <v>339</v>
      </c>
      <c r="B93" s="179" t="s">
        <v>512</v>
      </c>
      <c r="C93" s="89">
        <v>1.06</v>
      </c>
      <c r="D93" s="90">
        <f t="shared" si="17"/>
        <v>19541.616000000002</v>
      </c>
      <c r="E93" s="144">
        <f t="shared" si="18"/>
        <v>18435.48679245283</v>
      </c>
      <c r="F93" s="144">
        <v>8683</v>
      </c>
      <c r="G93" s="144"/>
      <c r="H93" s="144">
        <f>144.14/1.06</f>
        <v>135.98113207547169</v>
      </c>
      <c r="I93" s="144">
        <f>271.18/1.06</f>
        <v>255.83018867924528</v>
      </c>
      <c r="J93" s="144">
        <f>2865.39/C93</f>
        <v>2703.1981132075471</v>
      </c>
      <c r="K93" s="120">
        <v>30</v>
      </c>
      <c r="L93" s="144">
        <f>(F93+H93+J93)*K93/100</f>
        <v>3456.653773584906</v>
      </c>
      <c r="M93" s="144">
        <f t="shared" si="16"/>
        <v>6985.2169811320755</v>
      </c>
      <c r="N93" s="120">
        <v>30</v>
      </c>
      <c r="O93" s="144">
        <f t="shared" ref="O93" si="19">(F93+H93+J93)*N93/100</f>
        <v>3456.653773584906</v>
      </c>
      <c r="P93" s="90">
        <f>C93*E93*12-0.07</f>
        <v>234499.32200000001</v>
      </c>
    </row>
    <row r="94" spans="1:16" x14ac:dyDescent="0.2">
      <c r="A94" s="88" t="s">
        <v>340</v>
      </c>
      <c r="B94" s="179" t="s">
        <v>513</v>
      </c>
      <c r="C94" s="89">
        <v>1</v>
      </c>
      <c r="D94" s="90">
        <f t="shared" si="17"/>
        <v>35738.800000000003</v>
      </c>
      <c r="E94" s="144">
        <f t="shared" si="18"/>
        <v>35738.800000000003</v>
      </c>
      <c r="F94" s="144">
        <v>9505</v>
      </c>
      <c r="G94" s="144">
        <v>2376.25</v>
      </c>
      <c r="H94" s="144"/>
      <c r="I94" s="144"/>
      <c r="J94" s="144">
        <f>10455.5</f>
        <v>10455.5</v>
      </c>
      <c r="K94" s="120">
        <v>30</v>
      </c>
      <c r="L94" s="144">
        <f>(F94+H94+J94+G94)*K94/100</f>
        <v>6701.0249999999996</v>
      </c>
      <c r="M94" s="144">
        <f t="shared" si="16"/>
        <v>13402.05</v>
      </c>
      <c r="N94" s="120">
        <v>30</v>
      </c>
      <c r="O94" s="144">
        <f>(F94+H94+J94+G94)*N94/100</f>
        <v>6701.0249999999996</v>
      </c>
      <c r="P94" s="90">
        <f>C94*E94*12</f>
        <v>428865.60000000003</v>
      </c>
    </row>
    <row r="95" spans="1:16" x14ac:dyDescent="0.2">
      <c r="A95" s="88" t="s">
        <v>341</v>
      </c>
      <c r="B95" s="179" t="s">
        <v>514</v>
      </c>
      <c r="C95" s="89">
        <v>3</v>
      </c>
      <c r="D95" s="90">
        <f t="shared" si="17"/>
        <v>98091.599999999991</v>
      </c>
      <c r="E95" s="144">
        <f t="shared" si="18"/>
        <v>32697.199999999997</v>
      </c>
      <c r="F95" s="144">
        <v>9505</v>
      </c>
      <c r="G95" s="144">
        <f>7128.75/C95</f>
        <v>2376.25</v>
      </c>
      <c r="H95" s="144">
        <f>(5703)/3</f>
        <v>1901</v>
      </c>
      <c r="I95" s="144">
        <f>5365.2/3</f>
        <v>1788.3999999999999</v>
      </c>
      <c r="J95" s="144">
        <f>19960.5/C95</f>
        <v>6653.5</v>
      </c>
      <c r="K95" s="120">
        <v>30</v>
      </c>
      <c r="L95" s="144">
        <f>(F95+H95+J95+G95)*K95/100</f>
        <v>6130.7250000000004</v>
      </c>
      <c r="M95" s="144">
        <f t="shared" si="16"/>
        <v>12193.890000000001</v>
      </c>
      <c r="N95" s="120">
        <v>30</v>
      </c>
      <c r="O95" s="144">
        <f>(F95+H95+J95+G95)*N95/100</f>
        <v>6130.7250000000004</v>
      </c>
      <c r="P95" s="90">
        <f>C95*E95*12</f>
        <v>1177099.2</v>
      </c>
    </row>
    <row r="96" spans="1:16" x14ac:dyDescent="0.2">
      <c r="A96" s="101" t="s">
        <v>362</v>
      </c>
      <c r="B96" s="179" t="s">
        <v>515</v>
      </c>
      <c r="C96" s="89">
        <v>0.5</v>
      </c>
      <c r="D96" s="90">
        <f t="shared" si="17"/>
        <v>9511.2000000000007</v>
      </c>
      <c r="E96" s="144">
        <f t="shared" si="18"/>
        <v>19022.400000000001</v>
      </c>
      <c r="F96" s="144">
        <v>7926</v>
      </c>
      <c r="G96" s="144"/>
      <c r="H96" s="144">
        <f>(792.6)/0.5</f>
        <v>1585.2</v>
      </c>
      <c r="I96" s="144">
        <f>745.6/0.5</f>
        <v>1491.2</v>
      </c>
      <c r="J96" s="144">
        <f>1188.9/C96</f>
        <v>2377.8000000000002</v>
      </c>
      <c r="K96" s="120">
        <v>30</v>
      </c>
      <c r="L96" s="144">
        <f>1783.35/0.5</f>
        <v>3566.7</v>
      </c>
      <c r="M96" s="144">
        <f t="shared" si="16"/>
        <v>7077</v>
      </c>
      <c r="N96" s="120">
        <v>30</v>
      </c>
      <c r="O96" s="144">
        <f>1783.35/0.5</f>
        <v>3566.7</v>
      </c>
      <c r="P96" s="90">
        <v>114134.39999999999</v>
      </c>
    </row>
    <row r="97" spans="1:18" x14ac:dyDescent="0.2">
      <c r="A97" s="77" t="s">
        <v>342</v>
      </c>
      <c r="B97" s="179" t="s">
        <v>516</v>
      </c>
      <c r="C97" s="89"/>
      <c r="D97" s="90">
        <f t="shared" si="17"/>
        <v>0</v>
      </c>
      <c r="E97" s="144">
        <f t="shared" ref="E97" si="20">F97+H97+J97+L97+O97</f>
        <v>61409.231999999996</v>
      </c>
      <c r="F97" s="144"/>
      <c r="G97" s="144"/>
      <c r="H97" s="144"/>
      <c r="I97" s="144"/>
      <c r="J97" s="144">
        <v>38380.769999999997</v>
      </c>
      <c r="K97" s="120">
        <v>30</v>
      </c>
      <c r="L97" s="144">
        <f t="shared" ref="L97:L98" si="21">(F97+H97+J97)*K97/100</f>
        <v>11514.230999999998</v>
      </c>
      <c r="M97" s="144">
        <f t="shared" si="16"/>
        <v>23028.461999999996</v>
      </c>
      <c r="N97" s="120">
        <v>30</v>
      </c>
      <c r="O97" s="144">
        <f t="shared" ref="O97:O98" si="22">(F97+H97+J97)*N97/100</f>
        <v>11514.230999999998</v>
      </c>
      <c r="P97" s="90">
        <f>E97*12+0.05+0.03+0.02</f>
        <v>736910.88400000008</v>
      </c>
    </row>
    <row r="98" spans="1:18" ht="25.5" x14ac:dyDescent="0.2">
      <c r="A98" s="89" t="s">
        <v>343</v>
      </c>
      <c r="B98" s="179" t="s">
        <v>517</v>
      </c>
      <c r="C98" s="89"/>
      <c r="D98" s="90">
        <f t="shared" si="17"/>
        <v>0</v>
      </c>
      <c r="E98" s="144">
        <f>F98+H98+J98+L98+O98</f>
        <v>222043.42079999999</v>
      </c>
      <c r="F98" s="144"/>
      <c r="G98" s="144"/>
      <c r="H98" s="144"/>
      <c r="I98" s="144"/>
      <c r="J98" s="144">
        <f>200161.188+17334.26+92778.4-171496.71</f>
        <v>138777.13800000001</v>
      </c>
      <c r="K98" s="120">
        <v>30</v>
      </c>
      <c r="L98" s="144">
        <f t="shared" si="21"/>
        <v>41633.1414</v>
      </c>
      <c r="M98" s="144">
        <f t="shared" si="16"/>
        <v>83266.282800000001</v>
      </c>
      <c r="N98" s="120">
        <v>30</v>
      </c>
      <c r="O98" s="144">
        <f t="shared" si="22"/>
        <v>41633.1414</v>
      </c>
      <c r="P98" s="90">
        <f>E98*12+0.16-0.05</f>
        <v>2664521.1596000004</v>
      </c>
    </row>
    <row r="99" spans="1:18" x14ac:dyDescent="0.2">
      <c r="A99" s="89" t="s">
        <v>135</v>
      </c>
      <c r="B99" s="137">
        <v>9000</v>
      </c>
      <c r="C99" s="137" t="s">
        <v>12</v>
      </c>
      <c r="D99" s="90">
        <f>SUM(D89:D98)</f>
        <v>625139.26399999997</v>
      </c>
      <c r="E99" s="144">
        <f>SUM(E89:E98)</f>
        <v>478053.35910122481</v>
      </c>
      <c r="F99" s="144">
        <f>SUM(F89:F98)</f>
        <v>65223</v>
      </c>
      <c r="G99" s="144">
        <f>SUM(G89:G98)</f>
        <v>9108.7966666666671</v>
      </c>
      <c r="H99" s="144">
        <f t="shared" ref="H99" si="23">SUM(H89:H98)</f>
        <v>5519.8927987421384</v>
      </c>
      <c r="I99" s="144">
        <f>SUM(I89:I98)</f>
        <v>6373.8867038307599</v>
      </c>
      <c r="J99" s="144">
        <f>SUM(J89:J98)</f>
        <v>218931.65997285667</v>
      </c>
      <c r="K99" s="144"/>
      <c r="L99" s="144">
        <f>SUM(L89:L98)</f>
        <v>89635.00483147963</v>
      </c>
      <c r="M99" s="144">
        <f>SUM(M89:M98)</f>
        <v>179782.40600601246</v>
      </c>
      <c r="N99" s="144"/>
      <c r="O99" s="144">
        <f>SUM(O89:O98)</f>
        <v>89635.00483147963</v>
      </c>
      <c r="P99" s="127">
        <f>SUM(P89:P98)+0.13-0.17</f>
        <v>10903103.001600001</v>
      </c>
    </row>
    <row r="100" spans="1:18" x14ac:dyDescent="0.2"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</row>
    <row r="101" spans="1:18" ht="15.75" x14ac:dyDescent="0.25">
      <c r="A101" s="86" t="s">
        <v>374</v>
      </c>
      <c r="B101" s="86"/>
      <c r="C101" s="46" t="s">
        <v>375</v>
      </c>
      <c r="D101" s="46"/>
      <c r="E101" s="79" t="s">
        <v>376</v>
      </c>
      <c r="F101" s="141">
        <v>621</v>
      </c>
      <c r="G101" s="141"/>
      <c r="H101" s="142"/>
      <c r="I101" s="142"/>
      <c r="J101" s="142"/>
      <c r="K101" s="142"/>
      <c r="L101" s="142"/>
      <c r="M101" s="142"/>
      <c r="N101" s="142"/>
      <c r="O101" s="142"/>
    </row>
    <row r="102" spans="1:18" ht="12.75" customHeight="1" x14ac:dyDescent="0.2">
      <c r="A102" s="257" t="s">
        <v>181</v>
      </c>
      <c r="B102" s="257" t="s">
        <v>1</v>
      </c>
      <c r="C102" s="257" t="s">
        <v>182</v>
      </c>
      <c r="D102" s="137"/>
      <c r="E102" s="254" t="s">
        <v>183</v>
      </c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7" t="s">
        <v>184</v>
      </c>
      <c r="R102" s="97"/>
    </row>
    <row r="103" spans="1:18" ht="12.75" customHeight="1" x14ac:dyDescent="0.2">
      <c r="A103" s="257"/>
      <c r="B103" s="257"/>
      <c r="C103" s="257"/>
      <c r="D103" s="137"/>
      <c r="E103" s="254" t="s">
        <v>185</v>
      </c>
      <c r="F103" s="254" t="s">
        <v>15</v>
      </c>
      <c r="G103" s="254"/>
      <c r="H103" s="254"/>
      <c r="I103" s="254"/>
      <c r="J103" s="254"/>
      <c r="K103" s="254"/>
      <c r="L103" s="254"/>
      <c r="M103" s="254"/>
      <c r="N103" s="254"/>
      <c r="O103" s="254"/>
      <c r="P103" s="257"/>
    </row>
    <row r="104" spans="1:18" ht="12.75" customHeight="1" x14ac:dyDescent="0.2">
      <c r="A104" s="257"/>
      <c r="B104" s="257"/>
      <c r="C104" s="257"/>
      <c r="D104" s="137"/>
      <c r="E104" s="254"/>
      <c r="F104" s="254" t="s">
        <v>186</v>
      </c>
      <c r="G104" s="143"/>
      <c r="H104" s="254" t="s">
        <v>187</v>
      </c>
      <c r="I104" s="143"/>
      <c r="J104" s="254" t="s">
        <v>188</v>
      </c>
      <c r="K104" s="254" t="s">
        <v>189</v>
      </c>
      <c r="L104" s="254"/>
      <c r="M104" s="143"/>
      <c r="N104" s="254" t="s">
        <v>190</v>
      </c>
      <c r="O104" s="254"/>
      <c r="P104" s="257"/>
    </row>
    <row r="105" spans="1:18" ht="12.75" customHeight="1" x14ac:dyDescent="0.2">
      <c r="A105" s="257"/>
      <c r="B105" s="257"/>
      <c r="C105" s="257"/>
      <c r="D105" s="137"/>
      <c r="E105" s="254"/>
      <c r="F105" s="254"/>
      <c r="G105" s="143"/>
      <c r="H105" s="254"/>
      <c r="I105" s="143"/>
      <c r="J105" s="254"/>
      <c r="K105" s="143" t="s">
        <v>191</v>
      </c>
      <c r="L105" s="143" t="s">
        <v>192</v>
      </c>
      <c r="M105" s="143"/>
      <c r="N105" s="143" t="s">
        <v>191</v>
      </c>
      <c r="O105" s="143" t="s">
        <v>193</v>
      </c>
      <c r="P105" s="257"/>
    </row>
    <row r="106" spans="1:18" x14ac:dyDescent="0.2">
      <c r="A106" s="137">
        <v>1</v>
      </c>
      <c r="B106" s="137">
        <v>2</v>
      </c>
      <c r="C106" s="137">
        <v>3</v>
      </c>
      <c r="D106" s="137"/>
      <c r="E106" s="143">
        <v>4</v>
      </c>
      <c r="F106" s="143">
        <v>5</v>
      </c>
      <c r="G106" s="143"/>
      <c r="H106" s="143">
        <v>6</v>
      </c>
      <c r="I106" s="143"/>
      <c r="J106" s="143">
        <v>7</v>
      </c>
      <c r="K106" s="143">
        <v>8</v>
      </c>
      <c r="L106" s="143">
        <v>9</v>
      </c>
      <c r="M106" s="143"/>
      <c r="N106" s="143">
        <v>10</v>
      </c>
      <c r="O106" s="143">
        <v>11</v>
      </c>
      <c r="P106" s="137">
        <v>12</v>
      </c>
    </row>
    <row r="107" spans="1:18" ht="15" customHeight="1" x14ac:dyDescent="0.2">
      <c r="A107" s="89" t="s">
        <v>344</v>
      </c>
      <c r="B107" s="179" t="s">
        <v>486</v>
      </c>
      <c r="C107" s="89">
        <v>1.75</v>
      </c>
      <c r="D107" s="89">
        <f>E107*C107</f>
        <v>10234.143999999998</v>
      </c>
      <c r="E107" s="144">
        <f t="shared" ref="E107:E108" si="24">F107+H107+J107+L107+O107</f>
        <v>5848.0822857142848</v>
      </c>
      <c r="F107" s="144">
        <v>3481</v>
      </c>
      <c r="G107" s="144"/>
      <c r="H107" s="144">
        <f>(304.59)/1.75</f>
        <v>174.05142857142854</v>
      </c>
      <c r="I107" s="144"/>
      <c r="J107" s="144"/>
      <c r="K107" s="120">
        <v>30</v>
      </c>
      <c r="L107" s="144">
        <f>(F107+H107)*K107/100</f>
        <v>1096.5154285714284</v>
      </c>
      <c r="M107" s="144"/>
      <c r="N107" s="120">
        <v>30</v>
      </c>
      <c r="O107" s="144">
        <f>(F107+H107)*N107/100</f>
        <v>1096.5154285714284</v>
      </c>
      <c r="P107" s="91">
        <f>C107*E107*12-0.05</f>
        <v>122809.67799999997</v>
      </c>
    </row>
    <row r="108" spans="1:18" ht="15" customHeight="1" x14ac:dyDescent="0.2">
      <c r="A108" s="89" t="s">
        <v>344</v>
      </c>
      <c r="B108" s="179" t="s">
        <v>487</v>
      </c>
      <c r="C108" s="89">
        <v>1</v>
      </c>
      <c r="D108" s="89">
        <f t="shared" ref="D108:D111" si="25">E108*C108</f>
        <v>7457.53</v>
      </c>
      <c r="E108" s="144">
        <f t="shared" si="24"/>
        <v>7457.53</v>
      </c>
      <c r="F108" s="144">
        <v>4053</v>
      </c>
      <c r="G108" s="144"/>
      <c r="H108" s="144">
        <v>607.95000000000005</v>
      </c>
      <c r="I108" s="144"/>
      <c r="J108" s="144"/>
      <c r="K108" s="120">
        <v>30</v>
      </c>
      <c r="L108" s="144">
        <v>1398.29</v>
      </c>
      <c r="M108" s="144"/>
      <c r="N108" s="120">
        <v>30</v>
      </c>
      <c r="O108" s="144">
        <v>1398.29</v>
      </c>
      <c r="P108" s="91">
        <f>E108*12-0.12</f>
        <v>89490.240000000005</v>
      </c>
    </row>
    <row r="109" spans="1:18" ht="15" customHeight="1" x14ac:dyDescent="0.2">
      <c r="A109" s="89" t="s">
        <v>345</v>
      </c>
      <c r="B109" s="179" t="s">
        <v>488</v>
      </c>
      <c r="C109" s="89">
        <v>1.75</v>
      </c>
      <c r="D109" s="89">
        <f t="shared" si="25"/>
        <v>10234.14</v>
      </c>
      <c r="E109" s="144">
        <f>F109+H109+L109+O109</f>
        <v>5848.08</v>
      </c>
      <c r="F109" s="144">
        <v>3481</v>
      </c>
      <c r="G109" s="144"/>
      <c r="H109" s="144">
        <f>(304.59)/1.75</f>
        <v>174.05142857142854</v>
      </c>
      <c r="I109" s="144"/>
      <c r="J109" s="144"/>
      <c r="K109" s="120">
        <v>30</v>
      </c>
      <c r="L109" s="144">
        <f>1918.9/1.75</f>
        <v>1096.5142857142857</v>
      </c>
      <c r="M109" s="144"/>
      <c r="N109" s="120">
        <v>30</v>
      </c>
      <c r="O109" s="144">
        <f>1918.9/1.75</f>
        <v>1096.5142857142857</v>
      </c>
      <c r="P109" s="91">
        <f>C109*E109*12</f>
        <v>122809.68</v>
      </c>
    </row>
    <row r="110" spans="1:18" x14ac:dyDescent="0.2">
      <c r="A110" s="89" t="s">
        <v>346</v>
      </c>
      <c r="B110" s="179" t="s">
        <v>511</v>
      </c>
      <c r="C110" s="89">
        <v>1</v>
      </c>
      <c r="D110" s="89">
        <f t="shared" si="25"/>
        <v>6405.04</v>
      </c>
      <c r="E110" s="144">
        <f t="shared" ref="E110:E113" si="26">F110+H110+J110+L110+O110</f>
        <v>6405.04</v>
      </c>
      <c r="F110" s="144">
        <v>3481</v>
      </c>
      <c r="G110" s="144"/>
      <c r="H110" s="144">
        <v>522.15</v>
      </c>
      <c r="I110" s="144"/>
      <c r="J110" s="144"/>
      <c r="K110" s="120">
        <v>30</v>
      </c>
      <c r="L110" s="144">
        <f t="shared" ref="L110" si="27">(F110+H110+J110)*K110/100</f>
        <v>1200.9449999999999</v>
      </c>
      <c r="M110" s="144"/>
      <c r="N110" s="120">
        <v>30</v>
      </c>
      <c r="O110" s="144">
        <f t="shared" ref="O110" si="28">(F110+H110+J110)*N110/100</f>
        <v>1200.9449999999999</v>
      </c>
      <c r="P110" s="91">
        <f>C110*E110*12</f>
        <v>76860.479999999996</v>
      </c>
    </row>
    <row r="111" spans="1:18" x14ac:dyDescent="0.2">
      <c r="A111" s="89" t="s">
        <v>363</v>
      </c>
      <c r="B111" s="179" t="s">
        <v>512</v>
      </c>
      <c r="C111" s="89">
        <v>0.5</v>
      </c>
      <c r="D111" s="89">
        <f t="shared" si="25"/>
        <v>2854.41</v>
      </c>
      <c r="E111" s="144">
        <f t="shared" si="26"/>
        <v>5708.82</v>
      </c>
      <c r="F111" s="144">
        <v>3481</v>
      </c>
      <c r="G111" s="144"/>
      <c r="H111" s="144">
        <f>43.51/0.5</f>
        <v>87.02</v>
      </c>
      <c r="I111" s="144"/>
      <c r="J111" s="144"/>
      <c r="K111" s="120">
        <v>30</v>
      </c>
      <c r="L111" s="144">
        <f>535.2/0.5</f>
        <v>1070.4000000000001</v>
      </c>
      <c r="M111" s="144"/>
      <c r="N111" s="120">
        <v>30</v>
      </c>
      <c r="O111" s="144">
        <f>535.2/0.5</f>
        <v>1070.4000000000001</v>
      </c>
      <c r="P111" s="91">
        <f>C111*E111*12+0.12</f>
        <v>34253.040000000001</v>
      </c>
    </row>
    <row r="112" spans="1:18" x14ac:dyDescent="0.2">
      <c r="A112" s="89" t="s">
        <v>342</v>
      </c>
      <c r="B112" s="179" t="s">
        <v>513</v>
      </c>
      <c r="C112" s="89"/>
      <c r="D112" s="89"/>
      <c r="E112" s="144">
        <f t="shared" si="26"/>
        <v>2998.1567999999997</v>
      </c>
      <c r="F112" s="144"/>
      <c r="G112" s="144"/>
      <c r="H112" s="144"/>
      <c r="I112" s="144"/>
      <c r="J112" s="144">
        <v>1873.848</v>
      </c>
      <c r="K112" s="120">
        <v>30</v>
      </c>
      <c r="L112" s="144">
        <f t="shared" ref="L112:L113" si="29">(F112+H112+J112)*K112/100</f>
        <v>562.15440000000001</v>
      </c>
      <c r="M112" s="144"/>
      <c r="N112" s="120">
        <v>30</v>
      </c>
      <c r="O112" s="144">
        <f t="shared" ref="O112:O113" si="30">(F112+H112+J112)*N112/100</f>
        <v>562.15440000000001</v>
      </c>
      <c r="P112" s="90">
        <f>E112*12+0.04</f>
        <v>35977.921599999994</v>
      </c>
    </row>
    <row r="113" spans="1:21" x14ac:dyDescent="0.2">
      <c r="A113" s="89" t="s">
        <v>347</v>
      </c>
      <c r="B113" s="179" t="s">
        <v>514</v>
      </c>
      <c r="C113" s="89"/>
      <c r="D113" s="89"/>
      <c r="E113" s="144">
        <f t="shared" si="26"/>
        <v>118745.1664</v>
      </c>
      <c r="F113" s="144"/>
      <c r="G113" s="144"/>
      <c r="H113" s="144"/>
      <c r="I113" s="144"/>
      <c r="J113" s="145">
        <f>72850.729+1365</f>
        <v>74215.729000000007</v>
      </c>
      <c r="K113" s="120">
        <v>30</v>
      </c>
      <c r="L113" s="144">
        <f t="shared" si="29"/>
        <v>22264.718700000001</v>
      </c>
      <c r="M113" s="144"/>
      <c r="N113" s="120">
        <v>30</v>
      </c>
      <c r="O113" s="144">
        <f t="shared" si="30"/>
        <v>22264.718700000001</v>
      </c>
      <c r="P113" s="90">
        <f>E113*12-0.08</f>
        <v>1424941.9168</v>
      </c>
    </row>
    <row r="114" spans="1:21" x14ac:dyDescent="0.2">
      <c r="A114" s="89" t="s">
        <v>135</v>
      </c>
      <c r="B114" s="137">
        <v>9000</v>
      </c>
      <c r="C114" s="137" t="s">
        <v>12</v>
      </c>
      <c r="D114" s="137"/>
      <c r="E114" s="144">
        <f>SUM(E107:E113)</f>
        <v>153010.87548571429</v>
      </c>
      <c r="F114" s="144">
        <f>SUM(F107:F113)</f>
        <v>17977</v>
      </c>
      <c r="G114" s="144"/>
      <c r="H114" s="144">
        <f>SUM(H107:H113)</f>
        <v>1565.2228571428573</v>
      </c>
      <c r="I114" s="144"/>
      <c r="J114" s="144">
        <f>SUM(J107:J113)</f>
        <v>76089.577000000005</v>
      </c>
      <c r="K114" s="144"/>
      <c r="L114" s="144">
        <f>SUM(L107:L113)</f>
        <v>28689.537814285715</v>
      </c>
      <c r="M114" s="144"/>
      <c r="N114" s="144"/>
      <c r="O114" s="144">
        <f>SUM(O107:O113)</f>
        <v>28689.537814285715</v>
      </c>
      <c r="P114" s="127">
        <f>SUM(P107:P113)+0.04</f>
        <v>1907142.9964000001</v>
      </c>
    </row>
    <row r="115" spans="1:21" x14ac:dyDescent="0.2">
      <c r="A115" s="92"/>
      <c r="B115" s="93"/>
      <c r="C115" s="93"/>
      <c r="D115" s="93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94"/>
      <c r="U115" s="97"/>
    </row>
    <row r="116" spans="1:21" x14ac:dyDescent="0.2">
      <c r="A116" s="92"/>
      <c r="B116" s="93"/>
      <c r="C116" s="93"/>
      <c r="D116" s="93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94"/>
      <c r="U116" s="97"/>
    </row>
    <row r="117" spans="1:21" x14ac:dyDescent="0.2">
      <c r="A117" s="92"/>
      <c r="B117" s="93"/>
      <c r="C117" s="93"/>
      <c r="D117" s="93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94"/>
      <c r="U117" s="97"/>
    </row>
    <row r="118" spans="1:21" ht="15.75" x14ac:dyDescent="0.25">
      <c r="A118" s="86" t="s">
        <v>348</v>
      </c>
      <c r="B118" s="86"/>
      <c r="C118" s="46" t="s">
        <v>375</v>
      </c>
      <c r="D118" s="46"/>
      <c r="E118" s="79" t="s">
        <v>380</v>
      </c>
      <c r="F118" s="141">
        <v>621</v>
      </c>
      <c r="G118" s="141"/>
      <c r="H118" s="142"/>
      <c r="I118" s="142"/>
      <c r="J118" s="142"/>
      <c r="K118" s="142"/>
      <c r="L118" s="142"/>
      <c r="M118" s="142"/>
      <c r="N118" s="142"/>
      <c r="O118" s="142"/>
      <c r="R118" s="97"/>
    </row>
    <row r="119" spans="1:21" ht="12.75" customHeight="1" x14ac:dyDescent="0.2">
      <c r="A119" s="257" t="s">
        <v>181</v>
      </c>
      <c r="B119" s="257" t="s">
        <v>1</v>
      </c>
      <c r="C119" s="257" t="s">
        <v>182</v>
      </c>
      <c r="D119" s="137"/>
      <c r="E119" s="254" t="s">
        <v>183</v>
      </c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7" t="s">
        <v>184</v>
      </c>
    </row>
    <row r="120" spans="1:21" ht="12.75" customHeight="1" x14ac:dyDescent="0.2">
      <c r="A120" s="257"/>
      <c r="B120" s="257"/>
      <c r="C120" s="257"/>
      <c r="D120" s="137"/>
      <c r="E120" s="254" t="s">
        <v>185</v>
      </c>
      <c r="F120" s="254" t="s">
        <v>15</v>
      </c>
      <c r="G120" s="254"/>
      <c r="H120" s="254"/>
      <c r="I120" s="254"/>
      <c r="J120" s="254"/>
      <c r="K120" s="254"/>
      <c r="L120" s="254"/>
      <c r="M120" s="254"/>
      <c r="N120" s="254"/>
      <c r="O120" s="254"/>
      <c r="P120" s="257"/>
    </row>
    <row r="121" spans="1:21" ht="12.75" customHeight="1" x14ac:dyDescent="0.2">
      <c r="A121" s="257"/>
      <c r="B121" s="257"/>
      <c r="C121" s="257"/>
      <c r="D121" s="137"/>
      <c r="E121" s="254"/>
      <c r="F121" s="254" t="s">
        <v>186</v>
      </c>
      <c r="G121" s="143"/>
      <c r="H121" s="254" t="s">
        <v>187</v>
      </c>
      <c r="I121" s="143"/>
      <c r="J121" s="254" t="s">
        <v>188</v>
      </c>
      <c r="K121" s="254" t="s">
        <v>189</v>
      </c>
      <c r="L121" s="254"/>
      <c r="M121" s="143"/>
      <c r="N121" s="254" t="s">
        <v>190</v>
      </c>
      <c r="O121" s="254"/>
      <c r="P121" s="257"/>
    </row>
    <row r="122" spans="1:21" ht="12.75" customHeight="1" x14ac:dyDescent="0.2">
      <c r="A122" s="257"/>
      <c r="B122" s="257"/>
      <c r="C122" s="257"/>
      <c r="D122" s="137"/>
      <c r="E122" s="254"/>
      <c r="F122" s="254"/>
      <c r="G122" s="143"/>
      <c r="H122" s="254"/>
      <c r="I122" s="143"/>
      <c r="J122" s="254"/>
      <c r="K122" s="143" t="s">
        <v>191</v>
      </c>
      <c r="L122" s="143" t="s">
        <v>192</v>
      </c>
      <c r="M122" s="143"/>
      <c r="N122" s="143" t="s">
        <v>191</v>
      </c>
      <c r="O122" s="143" t="s">
        <v>193</v>
      </c>
      <c r="P122" s="257"/>
    </row>
    <row r="123" spans="1:21" x14ac:dyDescent="0.2">
      <c r="A123" s="137">
        <v>1</v>
      </c>
      <c r="B123" s="137">
        <v>2</v>
      </c>
      <c r="C123" s="137">
        <v>3</v>
      </c>
      <c r="D123" s="137"/>
      <c r="E123" s="143">
        <v>4</v>
      </c>
      <c r="F123" s="143">
        <v>5</v>
      </c>
      <c r="G123" s="143"/>
      <c r="H123" s="143">
        <v>6</v>
      </c>
      <c r="I123" s="143"/>
      <c r="J123" s="143">
        <v>7</v>
      </c>
      <c r="K123" s="143">
        <v>8</v>
      </c>
      <c r="L123" s="143">
        <v>9</v>
      </c>
      <c r="M123" s="143"/>
      <c r="N123" s="143">
        <v>10</v>
      </c>
      <c r="O123" s="143">
        <v>11</v>
      </c>
      <c r="P123" s="137">
        <v>12</v>
      </c>
    </row>
    <row r="124" spans="1:21" x14ac:dyDescent="0.2">
      <c r="A124" s="95" t="s">
        <v>349</v>
      </c>
      <c r="B124" s="179" t="s">
        <v>486</v>
      </c>
      <c r="C124" s="96">
        <v>1</v>
      </c>
      <c r="D124" s="96">
        <f>E124*C124</f>
        <v>41198.080000000002</v>
      </c>
      <c r="E124" s="144">
        <f>F124+H124+J124+L124+O124</f>
        <v>41198.080000000002</v>
      </c>
      <c r="F124" s="147">
        <v>18392</v>
      </c>
      <c r="G124" s="147"/>
      <c r="H124" s="147">
        <f>2758.8+4598</f>
        <v>7356.8</v>
      </c>
      <c r="I124" s="147"/>
      <c r="J124" s="143"/>
      <c r="K124" s="148">
        <v>30</v>
      </c>
      <c r="L124" s="144">
        <f t="shared" ref="L124" si="31">(F124+H124+J124)*K124/100</f>
        <v>7724.64</v>
      </c>
      <c r="M124" s="144"/>
      <c r="N124" s="148">
        <v>30</v>
      </c>
      <c r="O124" s="144">
        <f t="shared" ref="O124" si="32">(F124+H124+J124)*N124/100</f>
        <v>7724.64</v>
      </c>
      <c r="P124" s="90">
        <f>E124*12</f>
        <v>494376.96000000002</v>
      </c>
    </row>
    <row r="125" spans="1:21" ht="15" customHeight="1" x14ac:dyDescent="0.2">
      <c r="A125" s="95" t="s">
        <v>350</v>
      </c>
      <c r="B125" s="179" t="s">
        <v>487</v>
      </c>
      <c r="C125" s="96">
        <v>0.65</v>
      </c>
      <c r="D125" s="96">
        <f t="shared" ref="D125:D130" si="33">E125*C125</f>
        <v>33053.019999999997</v>
      </c>
      <c r="E125" s="144">
        <f>F125+H125+J125+L125+O125</f>
        <v>50850.799999999996</v>
      </c>
      <c r="F125" s="147">
        <v>16553</v>
      </c>
      <c r="G125" s="147"/>
      <c r="H125" s="147">
        <f>(2689.86+7208.83)/0.65</f>
        <v>15228.753846153846</v>
      </c>
      <c r="I125" s="147"/>
      <c r="J125" s="149"/>
      <c r="K125" s="148">
        <v>30</v>
      </c>
      <c r="L125" s="144">
        <f>6197.44/0.65</f>
        <v>9534.5230769230766</v>
      </c>
      <c r="M125" s="144"/>
      <c r="N125" s="148">
        <v>30</v>
      </c>
      <c r="O125" s="144">
        <f>6197.44/0.65</f>
        <v>9534.5230769230766</v>
      </c>
      <c r="P125" s="90">
        <v>396636.36</v>
      </c>
    </row>
    <row r="126" spans="1:21" ht="15" customHeight="1" x14ac:dyDescent="0.2">
      <c r="A126" s="95" t="s">
        <v>351</v>
      </c>
      <c r="B126" s="179" t="s">
        <v>488</v>
      </c>
      <c r="C126" s="96">
        <v>0.5</v>
      </c>
      <c r="D126" s="96">
        <f t="shared" si="33"/>
        <v>4943</v>
      </c>
      <c r="E126" s="144">
        <f>F126+H126+J126+L126+O126</f>
        <v>9886</v>
      </c>
      <c r="F126" s="147">
        <v>4943</v>
      </c>
      <c r="G126" s="147"/>
      <c r="H126" s="147">
        <f>617.88/0.5</f>
        <v>1235.76</v>
      </c>
      <c r="I126" s="147"/>
      <c r="J126" s="149"/>
      <c r="K126" s="148">
        <v>30</v>
      </c>
      <c r="L126" s="144">
        <f>926.81/0.5</f>
        <v>1853.62</v>
      </c>
      <c r="M126" s="144"/>
      <c r="N126" s="148">
        <v>30</v>
      </c>
      <c r="O126" s="144">
        <f>926.81/0.5</f>
        <v>1853.62</v>
      </c>
      <c r="P126" s="90">
        <v>59316</v>
      </c>
    </row>
    <row r="127" spans="1:21" ht="15" customHeight="1" x14ac:dyDescent="0.2">
      <c r="A127" s="95" t="s">
        <v>352</v>
      </c>
      <c r="B127" s="179" t="s">
        <v>511</v>
      </c>
      <c r="C127" s="96">
        <v>1</v>
      </c>
      <c r="D127" s="96">
        <f t="shared" si="33"/>
        <v>7457.5199999999995</v>
      </c>
      <c r="E127" s="144">
        <f t="shared" ref="E127:E131" si="34">F127+H127+J127+L127+O127</f>
        <v>7457.5199999999995</v>
      </c>
      <c r="F127" s="147">
        <v>4053</v>
      </c>
      <c r="G127" s="147"/>
      <c r="H127" s="147">
        <v>607.95000000000005</v>
      </c>
      <c r="I127" s="147"/>
      <c r="J127" s="149"/>
      <c r="K127" s="148">
        <v>30</v>
      </c>
      <c r="L127" s="144">
        <f t="shared" ref="L127:L128" si="35">(F127+H127+J127)*K127/100</f>
        <v>1398.2850000000001</v>
      </c>
      <c r="M127" s="144"/>
      <c r="N127" s="148">
        <v>30</v>
      </c>
      <c r="O127" s="144">
        <f t="shared" ref="O127:O128" si="36">(F127+H127+J127)*N127/100</f>
        <v>1398.2850000000001</v>
      </c>
      <c r="P127" s="90">
        <f>E127*12</f>
        <v>89490.239999999991</v>
      </c>
    </row>
    <row r="128" spans="1:21" x14ac:dyDescent="0.2">
      <c r="A128" s="95" t="s">
        <v>353</v>
      </c>
      <c r="B128" s="179" t="s">
        <v>512</v>
      </c>
      <c r="C128" s="96">
        <v>1</v>
      </c>
      <c r="D128" s="96">
        <f t="shared" si="33"/>
        <v>41051.440000000002</v>
      </c>
      <c r="E128" s="144">
        <f t="shared" si="34"/>
        <v>41051.440000000002</v>
      </c>
      <c r="F128" s="147">
        <v>16553</v>
      </c>
      <c r="G128" s="147"/>
      <c r="H128" s="147">
        <f>7448.85+1655.3</f>
        <v>9104.15</v>
      </c>
      <c r="I128" s="147"/>
      <c r="J128" s="149"/>
      <c r="K128" s="148">
        <v>30</v>
      </c>
      <c r="L128" s="144">
        <f t="shared" si="35"/>
        <v>7697.1450000000004</v>
      </c>
      <c r="M128" s="144"/>
      <c r="N128" s="148">
        <v>30</v>
      </c>
      <c r="O128" s="144">
        <f t="shared" si="36"/>
        <v>7697.1450000000004</v>
      </c>
      <c r="P128" s="90">
        <f>E128*12</f>
        <v>492617.28</v>
      </c>
    </row>
    <row r="129" spans="1:22" x14ac:dyDescent="0.2">
      <c r="A129" s="89" t="s">
        <v>354</v>
      </c>
      <c r="B129" s="179" t="s">
        <v>513</v>
      </c>
      <c r="C129" s="89">
        <v>8.5</v>
      </c>
      <c r="D129" s="96">
        <f t="shared" si="33"/>
        <v>72300.800000000003</v>
      </c>
      <c r="E129" s="144">
        <f t="shared" si="34"/>
        <v>8505.9764705882353</v>
      </c>
      <c r="F129" s="150">
        <v>4576</v>
      </c>
      <c r="G129" s="150"/>
      <c r="H129" s="150">
        <f>(2288+4004)/8.5</f>
        <v>740.23529411764707</v>
      </c>
      <c r="I129" s="150"/>
      <c r="J129" s="150"/>
      <c r="K129" s="120">
        <v>30</v>
      </c>
      <c r="L129" s="144">
        <f>13556.4/8.5</f>
        <v>1594.870588235294</v>
      </c>
      <c r="M129" s="144"/>
      <c r="N129" s="120">
        <v>30</v>
      </c>
      <c r="O129" s="144">
        <f>(F129+H129)*N129/100</f>
        <v>1594.870588235294</v>
      </c>
      <c r="P129" s="90">
        <v>867609.59999999998</v>
      </c>
    </row>
    <row r="130" spans="1:22" x14ac:dyDescent="0.2">
      <c r="A130" s="89" t="s">
        <v>364</v>
      </c>
      <c r="B130" s="179" t="s">
        <v>514</v>
      </c>
      <c r="C130" s="89">
        <v>0.5</v>
      </c>
      <c r="D130" s="96">
        <f t="shared" si="33"/>
        <v>3660.8</v>
      </c>
      <c r="E130" s="144">
        <f t="shared" si="34"/>
        <v>7321.6</v>
      </c>
      <c r="F130" s="150">
        <v>4576</v>
      </c>
      <c r="G130" s="150"/>
      <c r="H130" s="150"/>
      <c r="I130" s="150"/>
      <c r="J130" s="150"/>
      <c r="K130" s="120">
        <v>30</v>
      </c>
      <c r="L130" s="144">
        <f>686.4/0.5</f>
        <v>1372.8</v>
      </c>
      <c r="M130" s="144"/>
      <c r="N130" s="120">
        <v>30</v>
      </c>
      <c r="O130" s="144">
        <f>L130</f>
        <v>1372.8</v>
      </c>
      <c r="P130" s="90">
        <v>43929.599999999999</v>
      </c>
    </row>
    <row r="131" spans="1:22" x14ac:dyDescent="0.2">
      <c r="A131" s="89" t="s">
        <v>342</v>
      </c>
      <c r="B131" s="179" t="s">
        <v>515</v>
      </c>
      <c r="C131" s="89"/>
      <c r="D131" s="89"/>
      <c r="E131" s="144">
        <f t="shared" si="34"/>
        <v>7452.3360000000002</v>
      </c>
      <c r="F131" s="144"/>
      <c r="G131" s="144"/>
      <c r="H131" s="144"/>
      <c r="I131" s="144"/>
      <c r="J131" s="144">
        <v>4657.71</v>
      </c>
      <c r="K131" s="120">
        <v>30</v>
      </c>
      <c r="L131" s="144">
        <f t="shared" ref="L131:L132" si="37">(F131+H131+J131)*K131/100</f>
        <v>1397.3129999999999</v>
      </c>
      <c r="M131" s="144"/>
      <c r="N131" s="120">
        <v>30</v>
      </c>
      <c r="O131" s="144">
        <f t="shared" ref="O131:O132" si="38">(F131+H131+J131)*N131/100</f>
        <v>1397.3129999999999</v>
      </c>
      <c r="P131" s="90">
        <f>E131*12-0.02+0.07</f>
        <v>89428.082000000009</v>
      </c>
    </row>
    <row r="132" spans="1:22" ht="25.5" x14ac:dyDescent="0.2">
      <c r="A132" s="120" t="s">
        <v>448</v>
      </c>
      <c r="B132" s="179" t="s">
        <v>516</v>
      </c>
      <c r="C132" s="89"/>
      <c r="D132" s="89"/>
      <c r="E132" s="144">
        <f>F132+H132+J132+L132+O132</f>
        <v>25595.536</v>
      </c>
      <c r="F132" s="144"/>
      <c r="G132" s="144"/>
      <c r="H132" s="144"/>
      <c r="I132" s="144"/>
      <c r="J132" s="144">
        <v>15997.21</v>
      </c>
      <c r="K132" s="120">
        <v>30</v>
      </c>
      <c r="L132" s="144">
        <f t="shared" si="37"/>
        <v>4799.1629999999996</v>
      </c>
      <c r="M132" s="144"/>
      <c r="N132" s="120">
        <v>30</v>
      </c>
      <c r="O132" s="144">
        <f t="shared" si="38"/>
        <v>4799.1629999999996</v>
      </c>
      <c r="P132" s="90">
        <v>307146.36</v>
      </c>
    </row>
    <row r="133" spans="1:22" x14ac:dyDescent="0.2">
      <c r="A133" s="120" t="s">
        <v>449</v>
      </c>
      <c r="B133" s="179" t="s">
        <v>517</v>
      </c>
      <c r="C133" s="89"/>
      <c r="D133" s="89"/>
      <c r="E133" s="144">
        <f>F133+H133+J133+L133+O133</f>
        <v>3972.7200000000003</v>
      </c>
      <c r="F133" s="144"/>
      <c r="G133" s="144"/>
      <c r="H133" s="144"/>
      <c r="I133" s="144"/>
      <c r="J133" s="144">
        <v>2482.9499999999998</v>
      </c>
      <c r="K133" s="120">
        <v>30</v>
      </c>
      <c r="L133" s="144">
        <f>J133*K133/100</f>
        <v>744.88499999999999</v>
      </c>
      <c r="M133" s="144"/>
      <c r="N133" s="120">
        <v>30</v>
      </c>
      <c r="O133" s="144">
        <f>J133*30/100</f>
        <v>744.88499999999999</v>
      </c>
      <c r="P133" s="90">
        <v>47672.639999999999</v>
      </c>
    </row>
    <row r="134" spans="1:22" x14ac:dyDescent="0.2">
      <c r="A134" s="89" t="s">
        <v>347</v>
      </c>
      <c r="B134" s="179" t="s">
        <v>518</v>
      </c>
      <c r="C134" s="89"/>
      <c r="D134" s="89"/>
      <c r="E134" s="144">
        <f t="shared" ref="E134" si="39">F134+H134+J134+L134+O134</f>
        <v>275110.55999999994</v>
      </c>
      <c r="F134" s="144"/>
      <c r="G134" s="144"/>
      <c r="H134" s="144"/>
      <c r="I134" s="144"/>
      <c r="J134" s="144">
        <f>144802.56-935.73+28077.27</f>
        <v>171944.09999999998</v>
      </c>
      <c r="K134" s="120">
        <v>30</v>
      </c>
      <c r="L134" s="144">
        <f t="shared" ref="L134" si="40">(F134+H134+J134)*K134/100</f>
        <v>51583.229999999989</v>
      </c>
      <c r="M134" s="144"/>
      <c r="N134" s="120">
        <v>30</v>
      </c>
      <c r="O134" s="144">
        <f t="shared" ref="O134" si="41">(F134+H134+J134)*N134/100</f>
        <v>51583.229999999989</v>
      </c>
      <c r="P134" s="90">
        <f>E134*12+0.05</f>
        <v>3301326.7699999991</v>
      </c>
    </row>
    <row r="135" spans="1:22" x14ac:dyDescent="0.2">
      <c r="A135" s="89" t="s">
        <v>135</v>
      </c>
      <c r="B135" s="137">
        <v>9000</v>
      </c>
      <c r="C135" s="137" t="s">
        <v>12</v>
      </c>
      <c r="D135" s="137"/>
      <c r="E135" s="144">
        <f>SUM(E129:E134)</f>
        <v>327958.72847058816</v>
      </c>
      <c r="F135" s="144">
        <f>SUM(F129:F134)</f>
        <v>9152</v>
      </c>
      <c r="G135" s="144"/>
      <c r="H135" s="144">
        <f>SUM(H129:H134)</f>
        <v>740.23529411764707</v>
      </c>
      <c r="I135" s="144"/>
      <c r="J135" s="144">
        <f>SUM(J129:J134)</f>
        <v>195081.96999999997</v>
      </c>
      <c r="K135" s="144"/>
      <c r="L135" s="144">
        <f>SUM(L129:L134)</f>
        <v>61492.261588235284</v>
      </c>
      <c r="M135" s="144"/>
      <c r="N135" s="144"/>
      <c r="O135" s="144">
        <f>SUM(O129:O134)</f>
        <v>61492.261588235284</v>
      </c>
      <c r="P135" s="127">
        <f>P124+P125+P126+P127+P128+P129+P130+P131+P132+P134+P133+0.1-0.06+0.07</f>
        <v>6189550.0019999985</v>
      </c>
      <c r="U135" s="97"/>
    </row>
    <row r="136" spans="1:22" x14ac:dyDescent="0.2">
      <c r="G136" s="142"/>
    </row>
    <row r="137" spans="1:22" x14ac:dyDescent="0.2">
      <c r="G137" s="142"/>
      <c r="R137" s="97"/>
    </row>
    <row r="138" spans="1:22" ht="15.75" x14ac:dyDescent="0.25">
      <c r="A138" s="86" t="s">
        <v>385</v>
      </c>
      <c r="B138" s="46" t="s">
        <v>375</v>
      </c>
      <c r="C138" s="46" t="s">
        <v>384</v>
      </c>
      <c r="D138" s="46"/>
      <c r="G138" s="142"/>
      <c r="P138" s="97">
        <f>P99+P114+P135</f>
        <v>18999796</v>
      </c>
      <c r="R138" s="97"/>
      <c r="V138" s="97"/>
    </row>
    <row r="139" spans="1:22" ht="76.5" x14ac:dyDescent="0.2">
      <c r="A139" s="87" t="s">
        <v>319</v>
      </c>
      <c r="B139" s="87" t="s">
        <v>1</v>
      </c>
      <c r="C139" s="87" t="s">
        <v>365</v>
      </c>
      <c r="D139" s="87"/>
      <c r="E139" s="87" t="s">
        <v>366</v>
      </c>
      <c r="G139" s="142"/>
    </row>
    <row r="140" spans="1:22" ht="25.5" x14ac:dyDescent="0.2">
      <c r="A140" s="6" t="s">
        <v>335</v>
      </c>
      <c r="B140" s="178" t="s">
        <v>486</v>
      </c>
      <c r="C140" s="110">
        <f>E140/12</f>
        <v>0</v>
      </c>
      <c r="D140" s="110"/>
      <c r="E140" s="123">
        <v>0</v>
      </c>
      <c r="G140" s="142"/>
    </row>
    <row r="141" spans="1:22" ht="38.25" x14ac:dyDescent="0.2">
      <c r="A141" s="115" t="s">
        <v>420</v>
      </c>
      <c r="B141" s="178" t="s">
        <v>487</v>
      </c>
      <c r="C141" s="111">
        <f>E141/11</f>
        <v>0</v>
      </c>
      <c r="D141" s="111"/>
      <c r="E141" s="116">
        <v>0</v>
      </c>
      <c r="G141" s="142"/>
    </row>
    <row r="142" spans="1:22" ht="38.25" x14ac:dyDescent="0.2">
      <c r="A142" s="125" t="s">
        <v>421</v>
      </c>
      <c r="B142" s="178" t="s">
        <v>488</v>
      </c>
      <c r="C142" s="154">
        <f>E142/9</f>
        <v>0</v>
      </c>
      <c r="D142" s="154"/>
      <c r="E142" s="116">
        <v>0</v>
      </c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</row>
    <row r="143" spans="1:22" ht="25.5" x14ac:dyDescent="0.2">
      <c r="A143" s="64" t="s">
        <v>419</v>
      </c>
      <c r="B143" s="178" t="s">
        <v>511</v>
      </c>
      <c r="C143" s="154">
        <f>E143/9</f>
        <v>0</v>
      </c>
      <c r="D143" s="154"/>
      <c r="E143" s="116">
        <v>0</v>
      </c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</row>
    <row r="144" spans="1:22" ht="25.5" x14ac:dyDescent="0.2">
      <c r="A144" s="126" t="s">
        <v>422</v>
      </c>
      <c r="B144" s="178" t="s">
        <v>512</v>
      </c>
      <c r="C144" s="154">
        <f>E144/11</f>
        <v>0</v>
      </c>
      <c r="D144" s="154"/>
      <c r="E144" s="116">
        <v>0</v>
      </c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</row>
    <row r="145" spans="1:16" x14ac:dyDescent="0.2">
      <c r="A145" s="155" t="s">
        <v>447</v>
      </c>
      <c r="B145" s="178" t="s">
        <v>513</v>
      </c>
      <c r="C145" s="154">
        <f>E145/8</f>
        <v>0</v>
      </c>
      <c r="D145" s="154"/>
      <c r="E145" s="116">
        <v>0</v>
      </c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</row>
    <row r="146" spans="1:16" x14ac:dyDescent="0.2">
      <c r="A146" s="116" t="s">
        <v>320</v>
      </c>
      <c r="B146" s="116">
        <v>9000</v>
      </c>
      <c r="C146" s="116"/>
      <c r="D146" s="116"/>
      <c r="E146" s="156">
        <f>SUM(E140:E145)</f>
        <v>0</v>
      </c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</row>
    <row r="147" spans="1:16" x14ac:dyDescent="0.2">
      <c r="A147" s="142"/>
      <c r="B147" s="142"/>
      <c r="C147" s="142"/>
      <c r="D147" s="142"/>
      <c r="E147" s="15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</row>
    <row r="148" spans="1:16" x14ac:dyDescent="0.2">
      <c r="A148" s="142"/>
      <c r="B148" s="142"/>
      <c r="C148" s="142"/>
      <c r="D148" s="142"/>
      <c r="E148" s="15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</row>
    <row r="149" spans="1:16" x14ac:dyDescent="0.2">
      <c r="A149" s="142"/>
      <c r="B149" s="142"/>
      <c r="C149" s="142"/>
      <c r="D149" s="142"/>
      <c r="E149" s="15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</row>
    <row r="150" spans="1:16" ht="15.75" customHeight="1" x14ac:dyDescent="0.25">
      <c r="A150" s="258" t="s">
        <v>591</v>
      </c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</row>
    <row r="151" spans="1:16" ht="15" customHeight="1" x14ac:dyDescent="0.2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</row>
    <row r="152" spans="1:16" ht="15.75" x14ac:dyDescent="0.25">
      <c r="A152" s="86" t="s">
        <v>408</v>
      </c>
      <c r="B152" s="86"/>
      <c r="C152" s="46" t="s">
        <v>375</v>
      </c>
      <c r="D152" s="46"/>
      <c r="E152" s="79" t="s">
        <v>379</v>
      </c>
      <c r="F152" s="141">
        <v>621</v>
      </c>
      <c r="G152" s="141"/>
      <c r="H152" s="142"/>
      <c r="I152" s="142"/>
      <c r="J152" s="142"/>
      <c r="K152" s="142"/>
      <c r="L152" s="142"/>
      <c r="M152" s="142"/>
      <c r="N152" s="142"/>
      <c r="O152" s="142"/>
    </row>
    <row r="153" spans="1:16" ht="12.75" customHeight="1" x14ac:dyDescent="0.2">
      <c r="A153" s="257" t="s">
        <v>181</v>
      </c>
      <c r="B153" s="257" t="s">
        <v>1</v>
      </c>
      <c r="C153" s="257" t="s">
        <v>182</v>
      </c>
      <c r="D153" s="137"/>
      <c r="E153" s="254" t="s">
        <v>183</v>
      </c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7" t="s">
        <v>184</v>
      </c>
    </row>
    <row r="154" spans="1:16" ht="15" customHeight="1" x14ac:dyDescent="0.2">
      <c r="A154" s="257"/>
      <c r="B154" s="257"/>
      <c r="C154" s="257"/>
      <c r="D154" s="137"/>
      <c r="E154" s="254" t="s">
        <v>185</v>
      </c>
      <c r="F154" s="254" t="s">
        <v>15</v>
      </c>
      <c r="G154" s="254"/>
      <c r="H154" s="254"/>
      <c r="I154" s="254"/>
      <c r="J154" s="254"/>
      <c r="K154" s="254"/>
      <c r="L154" s="254"/>
      <c r="M154" s="254"/>
      <c r="N154" s="254"/>
      <c r="O154" s="254"/>
      <c r="P154" s="257"/>
    </row>
    <row r="155" spans="1:16" ht="15" customHeight="1" x14ac:dyDescent="0.2">
      <c r="A155" s="257"/>
      <c r="B155" s="257"/>
      <c r="C155" s="257"/>
      <c r="D155" s="137"/>
      <c r="E155" s="254"/>
      <c r="F155" s="255" t="s">
        <v>186</v>
      </c>
      <c r="G155" s="256"/>
      <c r="H155" s="254" t="s">
        <v>187</v>
      </c>
      <c r="I155" s="254" t="s">
        <v>187</v>
      </c>
      <c r="J155" s="254" t="s">
        <v>188</v>
      </c>
      <c r="K155" s="254" t="s">
        <v>189</v>
      </c>
      <c r="L155" s="254"/>
      <c r="M155" s="143" t="s">
        <v>469</v>
      </c>
      <c r="N155" s="254" t="s">
        <v>190</v>
      </c>
      <c r="O155" s="254"/>
      <c r="P155" s="257"/>
    </row>
    <row r="156" spans="1:16" ht="24" customHeight="1" x14ac:dyDescent="0.2">
      <c r="A156" s="257"/>
      <c r="B156" s="257"/>
      <c r="C156" s="257"/>
      <c r="D156" s="137"/>
      <c r="E156" s="254"/>
      <c r="F156" s="120" t="s">
        <v>468</v>
      </c>
      <c r="G156" s="143" t="s">
        <v>467</v>
      </c>
      <c r="H156" s="254"/>
      <c r="I156" s="254"/>
      <c r="J156" s="254"/>
      <c r="K156" s="143" t="s">
        <v>191</v>
      </c>
      <c r="L156" s="143" t="s">
        <v>192</v>
      </c>
      <c r="M156" s="143"/>
      <c r="N156" s="143" t="s">
        <v>191</v>
      </c>
      <c r="O156" s="143" t="s">
        <v>193</v>
      </c>
      <c r="P156" s="257"/>
    </row>
    <row r="157" spans="1:16" x14ac:dyDescent="0.2">
      <c r="A157" s="137">
        <v>1</v>
      </c>
      <c r="B157" s="137">
        <v>2</v>
      </c>
      <c r="C157" s="137">
        <v>3</v>
      </c>
      <c r="D157" s="137"/>
      <c r="E157" s="143">
        <v>4</v>
      </c>
      <c r="F157" s="255">
        <v>5</v>
      </c>
      <c r="G157" s="256"/>
      <c r="H157" s="143">
        <v>6</v>
      </c>
      <c r="I157" s="143"/>
      <c r="J157" s="143">
        <v>7</v>
      </c>
      <c r="K157" s="143">
        <v>8</v>
      </c>
      <c r="L157" s="143">
        <v>9</v>
      </c>
      <c r="M157" s="143"/>
      <c r="N157" s="143">
        <v>10</v>
      </c>
      <c r="O157" s="143">
        <v>11</v>
      </c>
      <c r="P157" s="137">
        <v>12</v>
      </c>
    </row>
    <row r="158" spans="1:16" x14ac:dyDescent="0.2">
      <c r="A158" s="88" t="s">
        <v>336</v>
      </c>
      <c r="B158" s="179" t="s">
        <v>486</v>
      </c>
      <c r="C158" s="89">
        <v>5</v>
      </c>
      <c r="D158" s="90">
        <f>E158*C158</f>
        <v>102711.75999999998</v>
      </c>
      <c r="E158" s="144">
        <f>F158+H158+J158+L158+O158+G158</f>
        <v>20542.351999999995</v>
      </c>
      <c r="F158" s="144">
        <v>7623</v>
      </c>
      <c r="G158" s="144">
        <f>1143.45/5</f>
        <v>228.69</v>
      </c>
      <c r="H158" s="144">
        <f>(1524.6)/5</f>
        <v>304.91999999999996</v>
      </c>
      <c r="I158" s="144">
        <f>(1434.2+3592)/4.4</f>
        <v>1142.3181818181818</v>
      </c>
      <c r="J158" s="144">
        <f>(19819.8+3592)/C158</f>
        <v>4682.3599999999997</v>
      </c>
      <c r="K158" s="120">
        <v>30</v>
      </c>
      <c r="L158" s="144">
        <f>(F158+H158+J158+G158)*K158/100</f>
        <v>3851.6909999999998</v>
      </c>
      <c r="M158" s="144">
        <f t="shared" ref="M158:M167" si="42">(F158+G158+I158+J158)*0.6</f>
        <v>8205.8209090909077</v>
      </c>
      <c r="N158" s="120">
        <v>30</v>
      </c>
      <c r="O158" s="144">
        <f>(F158+H158+J158+G158)*N158/100</f>
        <v>3851.6909999999998</v>
      </c>
      <c r="P158" s="90">
        <f>C158*E158*12</f>
        <v>1232541.1199999996</v>
      </c>
    </row>
    <row r="159" spans="1:16" x14ac:dyDescent="0.2">
      <c r="A159" s="88" t="s">
        <v>336</v>
      </c>
      <c r="B159" s="179" t="s">
        <v>487</v>
      </c>
      <c r="C159" s="89">
        <v>11.4</v>
      </c>
      <c r="D159" s="90">
        <f t="shared" ref="D159:D167" si="43">E159*C159</f>
        <v>296511.76000000007</v>
      </c>
      <c r="E159" s="144">
        <f t="shared" ref="E159:E165" si="44">F159+H159+J159+L159+O159+G159</f>
        <v>26009.803508771933</v>
      </c>
      <c r="F159" s="144">
        <v>8683</v>
      </c>
      <c r="G159" s="144">
        <f>13892.8/C159</f>
        <v>1218.6666666666665</v>
      </c>
      <c r="H159" s="144">
        <f>8683/11.4</f>
        <v>761.66666666666663</v>
      </c>
      <c r="I159" s="144">
        <f>(6534.4+8189.76)/12</f>
        <v>1227.0133333333333</v>
      </c>
      <c r="J159" s="144">
        <f>(55137.05+8620.8)/C159</f>
        <v>5592.7938596491231</v>
      </c>
      <c r="K159" s="120">
        <v>30</v>
      </c>
      <c r="L159" s="144">
        <f>(F159+H159+J159+G159)*K159/100</f>
        <v>4876.8381578947374</v>
      </c>
      <c r="M159" s="144">
        <f t="shared" si="42"/>
        <v>10032.884315789473</v>
      </c>
      <c r="N159" s="120">
        <v>30</v>
      </c>
      <c r="O159" s="144">
        <f>(F159+H159+J159+G159)*N159/100</f>
        <v>4876.8381578947374</v>
      </c>
      <c r="P159" s="90">
        <f>(C159*E159)*12</f>
        <v>3558141.120000001</v>
      </c>
    </row>
    <row r="160" spans="1:16" ht="24" x14ac:dyDescent="0.2">
      <c r="A160" s="88" t="s">
        <v>337</v>
      </c>
      <c r="B160" s="179" t="s">
        <v>488</v>
      </c>
      <c r="C160" s="89">
        <v>1</v>
      </c>
      <c r="D160" s="90">
        <f t="shared" si="43"/>
        <v>21276.799999999999</v>
      </c>
      <c r="E160" s="144">
        <f t="shared" si="44"/>
        <v>21276.799999999999</v>
      </c>
      <c r="F160" s="144">
        <v>6649</v>
      </c>
      <c r="G160" s="144">
        <v>1662.25</v>
      </c>
      <c r="H160" s="144">
        <v>332.45</v>
      </c>
      <c r="I160" s="144"/>
      <c r="J160" s="144">
        <v>4654.3</v>
      </c>
      <c r="K160" s="120">
        <v>30</v>
      </c>
      <c r="L160" s="144">
        <f>(F160+H160+J160+G160)*K160/100</f>
        <v>3989.4</v>
      </c>
      <c r="M160" s="144">
        <f t="shared" si="42"/>
        <v>7779.329999999999</v>
      </c>
      <c r="N160" s="120">
        <v>30</v>
      </c>
      <c r="O160" s="144">
        <f>(F160+H160+J160+G160)*N160/100</f>
        <v>3989.4</v>
      </c>
      <c r="P160" s="90">
        <f>(C160*E160)*12</f>
        <v>255321.59999999998</v>
      </c>
    </row>
    <row r="161" spans="1:16" x14ac:dyDescent="0.2">
      <c r="A161" s="88" t="s">
        <v>338</v>
      </c>
      <c r="B161" s="179" t="s">
        <v>511</v>
      </c>
      <c r="C161" s="89">
        <v>2</v>
      </c>
      <c r="D161" s="90">
        <f t="shared" si="43"/>
        <v>41755.727999999996</v>
      </c>
      <c r="E161" s="144">
        <f t="shared" si="44"/>
        <v>20877.863999999998</v>
      </c>
      <c r="F161" s="144">
        <v>6649</v>
      </c>
      <c r="G161" s="144">
        <f>2493.38/2</f>
        <v>1246.69</v>
      </c>
      <c r="H161" s="144">
        <f>997.35/2</f>
        <v>498.67500000000001</v>
      </c>
      <c r="I161" s="144">
        <f>938.25/2</f>
        <v>469.125</v>
      </c>
      <c r="J161" s="144">
        <f>9308.6/C161</f>
        <v>4654.3</v>
      </c>
      <c r="K161" s="120">
        <v>30</v>
      </c>
      <c r="L161" s="144">
        <f>(F161+H161+J161+G161)*K161/100</f>
        <v>3914.5995000000003</v>
      </c>
      <c r="M161" s="144">
        <f t="shared" si="42"/>
        <v>7811.469000000001</v>
      </c>
      <c r="N161" s="120">
        <v>30</v>
      </c>
      <c r="O161" s="144">
        <f>(F161+H161+J161+G161)*N161/100</f>
        <v>3914.5995000000003</v>
      </c>
      <c r="P161" s="90">
        <f>C161*E161*12-0.1</f>
        <v>501068.63599999994</v>
      </c>
    </row>
    <row r="162" spans="1:16" x14ac:dyDescent="0.2">
      <c r="A162" s="88" t="s">
        <v>339</v>
      </c>
      <c r="B162" s="179" t="s">
        <v>512</v>
      </c>
      <c r="C162" s="89">
        <v>1.06</v>
      </c>
      <c r="D162" s="90">
        <f t="shared" si="43"/>
        <v>19541.616000000002</v>
      </c>
      <c r="E162" s="144">
        <f t="shared" si="44"/>
        <v>18435.48679245283</v>
      </c>
      <c r="F162" s="144">
        <v>8683</v>
      </c>
      <c r="G162" s="144"/>
      <c r="H162" s="144">
        <f>144.14/1.06</f>
        <v>135.98113207547169</v>
      </c>
      <c r="I162" s="144">
        <f>271.18/1.06</f>
        <v>255.83018867924528</v>
      </c>
      <c r="J162" s="144">
        <f>2865.39/C162</f>
        <v>2703.1981132075471</v>
      </c>
      <c r="K162" s="120">
        <v>30</v>
      </c>
      <c r="L162" s="144">
        <f>(F162+H162+J162)*K162/100</f>
        <v>3456.653773584906</v>
      </c>
      <c r="M162" s="144">
        <f t="shared" si="42"/>
        <v>6985.2169811320755</v>
      </c>
      <c r="N162" s="120">
        <v>30</v>
      </c>
      <c r="O162" s="144">
        <f t="shared" ref="O162" si="45">(F162+H162+J162)*N162/100</f>
        <v>3456.653773584906</v>
      </c>
      <c r="P162" s="90">
        <f>C162*E162*12-0.07</f>
        <v>234499.32200000001</v>
      </c>
    </row>
    <row r="163" spans="1:16" x14ac:dyDescent="0.2">
      <c r="A163" s="88" t="s">
        <v>340</v>
      </c>
      <c r="B163" s="179" t="s">
        <v>513</v>
      </c>
      <c r="C163" s="89">
        <v>1</v>
      </c>
      <c r="D163" s="90">
        <f t="shared" si="43"/>
        <v>35738.800000000003</v>
      </c>
      <c r="E163" s="144">
        <f t="shared" si="44"/>
        <v>35738.800000000003</v>
      </c>
      <c r="F163" s="144">
        <v>9505</v>
      </c>
      <c r="G163" s="144">
        <v>2376.25</v>
      </c>
      <c r="H163" s="144"/>
      <c r="I163" s="144"/>
      <c r="J163" s="144">
        <f>10455.5</f>
        <v>10455.5</v>
      </c>
      <c r="K163" s="120">
        <v>30</v>
      </c>
      <c r="L163" s="144">
        <f>(F163+H163+J163+G163)*K163/100</f>
        <v>6701.0249999999996</v>
      </c>
      <c r="M163" s="144">
        <f t="shared" si="42"/>
        <v>13402.05</v>
      </c>
      <c r="N163" s="120">
        <v>30</v>
      </c>
      <c r="O163" s="144">
        <f>(F163+H163+J163+G163)*N163/100</f>
        <v>6701.0249999999996</v>
      </c>
      <c r="P163" s="90">
        <f>C163*E163*12</f>
        <v>428865.60000000003</v>
      </c>
    </row>
    <row r="164" spans="1:16" x14ac:dyDescent="0.2">
      <c r="A164" s="88" t="s">
        <v>341</v>
      </c>
      <c r="B164" s="179" t="s">
        <v>514</v>
      </c>
      <c r="C164" s="89">
        <v>3</v>
      </c>
      <c r="D164" s="90">
        <f t="shared" si="43"/>
        <v>98091.599999999991</v>
      </c>
      <c r="E164" s="144">
        <f t="shared" si="44"/>
        <v>32697.199999999997</v>
      </c>
      <c r="F164" s="144">
        <v>9505</v>
      </c>
      <c r="G164" s="144">
        <f>7128.75/C164</f>
        <v>2376.25</v>
      </c>
      <c r="H164" s="144">
        <f>(5703)/3</f>
        <v>1901</v>
      </c>
      <c r="I164" s="144">
        <f>5365.2/3</f>
        <v>1788.3999999999999</v>
      </c>
      <c r="J164" s="144">
        <f>19960.5/C164</f>
        <v>6653.5</v>
      </c>
      <c r="K164" s="120">
        <v>30</v>
      </c>
      <c r="L164" s="144">
        <f>(F164+H164+J164+G164)*K164/100</f>
        <v>6130.7250000000004</v>
      </c>
      <c r="M164" s="144">
        <f t="shared" si="42"/>
        <v>12193.890000000001</v>
      </c>
      <c r="N164" s="120">
        <v>30</v>
      </c>
      <c r="O164" s="144">
        <f>(F164+H164+J164+G164)*N164/100</f>
        <v>6130.7250000000004</v>
      </c>
      <c r="P164" s="90">
        <f>C164*E164*12</f>
        <v>1177099.2</v>
      </c>
    </row>
    <row r="165" spans="1:16" x14ac:dyDescent="0.2">
      <c r="A165" s="101" t="s">
        <v>362</v>
      </c>
      <c r="B165" s="179" t="s">
        <v>515</v>
      </c>
      <c r="C165" s="89">
        <v>0.5</v>
      </c>
      <c r="D165" s="90">
        <f t="shared" si="43"/>
        <v>9511.2000000000007</v>
      </c>
      <c r="E165" s="144">
        <f t="shared" si="44"/>
        <v>19022.400000000001</v>
      </c>
      <c r="F165" s="144">
        <v>7926</v>
      </c>
      <c r="G165" s="144"/>
      <c r="H165" s="144">
        <f>(792.6)/0.5</f>
        <v>1585.2</v>
      </c>
      <c r="I165" s="144">
        <f>745.6/0.5</f>
        <v>1491.2</v>
      </c>
      <c r="J165" s="144">
        <f>1188.9/C165</f>
        <v>2377.8000000000002</v>
      </c>
      <c r="K165" s="120">
        <v>30</v>
      </c>
      <c r="L165" s="144">
        <f>1783.35/0.5</f>
        <v>3566.7</v>
      </c>
      <c r="M165" s="144">
        <f t="shared" si="42"/>
        <v>7077</v>
      </c>
      <c r="N165" s="120">
        <v>30</v>
      </c>
      <c r="O165" s="144">
        <f>1783.35/0.5</f>
        <v>3566.7</v>
      </c>
      <c r="P165" s="90">
        <v>114134.39999999999</v>
      </c>
    </row>
    <row r="166" spans="1:16" x14ac:dyDescent="0.2">
      <c r="A166" s="77" t="s">
        <v>342</v>
      </c>
      <c r="B166" s="179" t="s">
        <v>516</v>
      </c>
      <c r="C166" s="89"/>
      <c r="D166" s="90">
        <f t="shared" si="43"/>
        <v>0</v>
      </c>
      <c r="E166" s="144">
        <f t="shared" ref="E166" si="46">F166+H166+J166+L166+O166</f>
        <v>61409.231999999996</v>
      </c>
      <c r="F166" s="144"/>
      <c r="G166" s="144"/>
      <c r="H166" s="144"/>
      <c r="I166" s="144"/>
      <c r="J166" s="144">
        <v>38380.769999999997</v>
      </c>
      <c r="K166" s="120">
        <v>30</v>
      </c>
      <c r="L166" s="144">
        <f t="shared" ref="L166:L167" si="47">(F166+H166+J166)*K166/100</f>
        <v>11514.230999999998</v>
      </c>
      <c r="M166" s="144">
        <f t="shared" si="42"/>
        <v>23028.461999999996</v>
      </c>
      <c r="N166" s="120">
        <v>30</v>
      </c>
      <c r="O166" s="144">
        <f t="shared" ref="O166:O167" si="48">(F166+H166+J166)*N166/100</f>
        <v>11514.230999999998</v>
      </c>
      <c r="P166" s="90">
        <f>E166*12+0.05+0.03+0.02</f>
        <v>736910.88400000008</v>
      </c>
    </row>
    <row r="167" spans="1:16" ht="25.5" x14ac:dyDescent="0.2">
      <c r="A167" s="89" t="s">
        <v>343</v>
      </c>
      <c r="B167" s="179" t="s">
        <v>517</v>
      </c>
      <c r="C167" s="89"/>
      <c r="D167" s="90">
        <f t="shared" si="43"/>
        <v>0</v>
      </c>
      <c r="E167" s="144">
        <f>F167+H167+J167+L167+O167</f>
        <v>222043.42079999999</v>
      </c>
      <c r="F167" s="144"/>
      <c r="G167" s="144"/>
      <c r="H167" s="144"/>
      <c r="I167" s="144"/>
      <c r="J167" s="144">
        <f>200161.188+17334.26+92778.4-171496.71</f>
        <v>138777.13800000001</v>
      </c>
      <c r="K167" s="120">
        <v>30</v>
      </c>
      <c r="L167" s="144">
        <f t="shared" si="47"/>
        <v>41633.1414</v>
      </c>
      <c r="M167" s="144">
        <f t="shared" si="42"/>
        <v>83266.282800000001</v>
      </c>
      <c r="N167" s="120">
        <v>30</v>
      </c>
      <c r="O167" s="144">
        <f t="shared" si="48"/>
        <v>41633.1414</v>
      </c>
      <c r="P167" s="90">
        <f>E167*12+0.16-0.05</f>
        <v>2664521.1596000004</v>
      </c>
    </row>
    <row r="168" spans="1:16" x14ac:dyDescent="0.2">
      <c r="A168" s="89" t="s">
        <v>135</v>
      </c>
      <c r="B168" s="137">
        <v>9000</v>
      </c>
      <c r="C168" s="137" t="s">
        <v>12</v>
      </c>
      <c r="D168" s="90">
        <f>SUM(D158:D167)</f>
        <v>625139.26399999997</v>
      </c>
      <c r="E168" s="144">
        <f>SUM(E158:E167)</f>
        <v>478053.35910122481</v>
      </c>
      <c r="F168" s="144">
        <f>SUM(F158:F167)</f>
        <v>65223</v>
      </c>
      <c r="G168" s="144">
        <f>SUM(G158:G167)</f>
        <v>9108.7966666666671</v>
      </c>
      <c r="H168" s="144">
        <f t="shared" ref="H168" si="49">SUM(H158:H167)</f>
        <v>5519.8927987421384</v>
      </c>
      <c r="I168" s="144">
        <f>SUM(I158:I167)</f>
        <v>6373.8867038307599</v>
      </c>
      <c r="J168" s="144">
        <f>SUM(J158:J167)</f>
        <v>218931.65997285667</v>
      </c>
      <c r="K168" s="144"/>
      <c r="L168" s="144">
        <f>SUM(L158:L167)</f>
        <v>89635.00483147963</v>
      </c>
      <c r="M168" s="144">
        <f>SUM(M158:M167)</f>
        <v>179782.40600601246</v>
      </c>
      <c r="N168" s="144"/>
      <c r="O168" s="144">
        <f>SUM(O158:O167)</f>
        <v>89635.00483147963</v>
      </c>
      <c r="P168" s="127">
        <f>SUM(P158:P167)+0.13-0.17</f>
        <v>10903103.001600001</v>
      </c>
    </row>
    <row r="169" spans="1:16" x14ac:dyDescent="0.2"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</row>
    <row r="170" spans="1:16" ht="15.75" x14ac:dyDescent="0.25">
      <c r="A170" s="86" t="s">
        <v>374</v>
      </c>
      <c r="B170" s="86"/>
      <c r="C170" s="46" t="s">
        <v>375</v>
      </c>
      <c r="D170" s="46"/>
      <c r="E170" s="79" t="s">
        <v>376</v>
      </c>
      <c r="F170" s="141">
        <v>621</v>
      </c>
      <c r="G170" s="141"/>
      <c r="H170" s="142"/>
      <c r="I170" s="142"/>
      <c r="J170" s="142"/>
      <c r="K170" s="142"/>
      <c r="L170" s="142"/>
      <c r="M170" s="142"/>
      <c r="N170" s="142"/>
      <c r="O170" s="142"/>
    </row>
    <row r="171" spans="1:16" ht="12.75" customHeight="1" x14ac:dyDescent="0.2">
      <c r="A171" s="257" t="s">
        <v>181</v>
      </c>
      <c r="B171" s="257" t="s">
        <v>1</v>
      </c>
      <c r="C171" s="257" t="s">
        <v>182</v>
      </c>
      <c r="D171" s="137"/>
      <c r="E171" s="254" t="s">
        <v>183</v>
      </c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7" t="s">
        <v>184</v>
      </c>
    </row>
    <row r="172" spans="1:16" ht="12.75" customHeight="1" x14ac:dyDescent="0.2">
      <c r="A172" s="257"/>
      <c r="B172" s="257"/>
      <c r="C172" s="257"/>
      <c r="D172" s="137"/>
      <c r="E172" s="254" t="s">
        <v>185</v>
      </c>
      <c r="F172" s="254" t="s">
        <v>15</v>
      </c>
      <c r="G172" s="254"/>
      <c r="H172" s="254"/>
      <c r="I172" s="254"/>
      <c r="J172" s="254"/>
      <c r="K172" s="254"/>
      <c r="L172" s="254"/>
      <c r="M172" s="254"/>
      <c r="N172" s="254"/>
      <c r="O172" s="254"/>
      <c r="P172" s="257"/>
    </row>
    <row r="173" spans="1:16" ht="12.75" customHeight="1" x14ac:dyDescent="0.2">
      <c r="A173" s="257"/>
      <c r="B173" s="257"/>
      <c r="C173" s="257"/>
      <c r="D173" s="137"/>
      <c r="E173" s="254"/>
      <c r="F173" s="254" t="s">
        <v>186</v>
      </c>
      <c r="G173" s="143"/>
      <c r="H173" s="254" t="s">
        <v>187</v>
      </c>
      <c r="I173" s="143"/>
      <c r="J173" s="254" t="s">
        <v>188</v>
      </c>
      <c r="K173" s="254" t="s">
        <v>189</v>
      </c>
      <c r="L173" s="254"/>
      <c r="M173" s="143"/>
      <c r="N173" s="254" t="s">
        <v>190</v>
      </c>
      <c r="O173" s="254"/>
      <c r="P173" s="257"/>
    </row>
    <row r="174" spans="1:16" ht="12.75" customHeight="1" x14ac:dyDescent="0.2">
      <c r="A174" s="257"/>
      <c r="B174" s="257"/>
      <c r="C174" s="257"/>
      <c r="D174" s="137"/>
      <c r="E174" s="254"/>
      <c r="F174" s="254"/>
      <c r="G174" s="143"/>
      <c r="H174" s="254"/>
      <c r="I174" s="143"/>
      <c r="J174" s="254"/>
      <c r="K174" s="143" t="s">
        <v>191</v>
      </c>
      <c r="L174" s="143" t="s">
        <v>192</v>
      </c>
      <c r="M174" s="143"/>
      <c r="N174" s="143" t="s">
        <v>191</v>
      </c>
      <c r="O174" s="143" t="s">
        <v>193</v>
      </c>
      <c r="P174" s="257"/>
    </row>
    <row r="175" spans="1:16" x14ac:dyDescent="0.2">
      <c r="A175" s="137">
        <v>1</v>
      </c>
      <c r="B175" s="137">
        <v>2</v>
      </c>
      <c r="C175" s="137">
        <v>3</v>
      </c>
      <c r="D175" s="137"/>
      <c r="E175" s="143">
        <v>4</v>
      </c>
      <c r="F175" s="143">
        <v>5</v>
      </c>
      <c r="G175" s="143"/>
      <c r="H175" s="143">
        <v>6</v>
      </c>
      <c r="I175" s="143"/>
      <c r="J175" s="143">
        <v>7</v>
      </c>
      <c r="K175" s="143">
        <v>8</v>
      </c>
      <c r="L175" s="143">
        <v>9</v>
      </c>
      <c r="M175" s="143"/>
      <c r="N175" s="143">
        <v>10</v>
      </c>
      <c r="O175" s="143">
        <v>11</v>
      </c>
      <c r="P175" s="137">
        <v>12</v>
      </c>
    </row>
    <row r="176" spans="1:16" ht="15" customHeight="1" x14ac:dyDescent="0.2">
      <c r="A176" s="89" t="s">
        <v>344</v>
      </c>
      <c r="B176" s="179" t="s">
        <v>486</v>
      </c>
      <c r="C176" s="89">
        <v>1.75</v>
      </c>
      <c r="D176" s="89">
        <f>E176*C176</f>
        <v>10234.143999999998</v>
      </c>
      <c r="E176" s="144">
        <f t="shared" ref="E176:E177" si="50">F176+H176+J176+L176+O176</f>
        <v>5848.0822857142848</v>
      </c>
      <c r="F176" s="144">
        <v>3481</v>
      </c>
      <c r="G176" s="144"/>
      <c r="H176" s="144">
        <f>(304.59)/1.75</f>
        <v>174.05142857142854</v>
      </c>
      <c r="I176" s="144"/>
      <c r="J176" s="144"/>
      <c r="K176" s="120">
        <v>30</v>
      </c>
      <c r="L176" s="144">
        <f>(F176+H176)*K176/100</f>
        <v>1096.5154285714284</v>
      </c>
      <c r="M176" s="144"/>
      <c r="N176" s="120">
        <v>30</v>
      </c>
      <c r="O176" s="144">
        <f>(F176+H176)*N176/100</f>
        <v>1096.5154285714284</v>
      </c>
      <c r="P176" s="91">
        <f>C176*E176*12-0.05</f>
        <v>122809.67799999997</v>
      </c>
    </row>
    <row r="177" spans="1:21" ht="15" customHeight="1" x14ac:dyDescent="0.2">
      <c r="A177" s="89" t="s">
        <v>344</v>
      </c>
      <c r="B177" s="179" t="s">
        <v>487</v>
      </c>
      <c r="C177" s="89">
        <v>1</v>
      </c>
      <c r="D177" s="89">
        <f t="shared" ref="D177:D180" si="51">E177*C177</f>
        <v>7457.53</v>
      </c>
      <c r="E177" s="144">
        <f t="shared" si="50"/>
        <v>7457.53</v>
      </c>
      <c r="F177" s="144">
        <v>4053</v>
      </c>
      <c r="G177" s="144"/>
      <c r="H177" s="144">
        <v>607.95000000000005</v>
      </c>
      <c r="I177" s="144"/>
      <c r="J177" s="144"/>
      <c r="K177" s="120">
        <v>30</v>
      </c>
      <c r="L177" s="144">
        <v>1398.29</v>
      </c>
      <c r="M177" s="144"/>
      <c r="N177" s="120">
        <v>30</v>
      </c>
      <c r="O177" s="144">
        <v>1398.29</v>
      </c>
      <c r="P177" s="91">
        <f>E177*12-0.12</f>
        <v>89490.240000000005</v>
      </c>
    </row>
    <row r="178" spans="1:21" ht="15" customHeight="1" x14ac:dyDescent="0.2">
      <c r="A178" s="89" t="s">
        <v>345</v>
      </c>
      <c r="B178" s="179" t="s">
        <v>488</v>
      </c>
      <c r="C178" s="89">
        <v>1.75</v>
      </c>
      <c r="D178" s="89">
        <f t="shared" si="51"/>
        <v>10234.14</v>
      </c>
      <c r="E178" s="144">
        <f>F178+H178+L178+O178</f>
        <v>5848.08</v>
      </c>
      <c r="F178" s="144">
        <v>3481</v>
      </c>
      <c r="G178" s="144"/>
      <c r="H178" s="144">
        <f>(304.59)/1.75</f>
        <v>174.05142857142854</v>
      </c>
      <c r="I178" s="144"/>
      <c r="J178" s="144"/>
      <c r="K178" s="120">
        <v>30</v>
      </c>
      <c r="L178" s="144">
        <f>1918.9/1.75</f>
        <v>1096.5142857142857</v>
      </c>
      <c r="M178" s="144"/>
      <c r="N178" s="120">
        <v>30</v>
      </c>
      <c r="O178" s="144">
        <f>1918.9/1.75</f>
        <v>1096.5142857142857</v>
      </c>
      <c r="P178" s="91">
        <f>C178*E178*12</f>
        <v>122809.68</v>
      </c>
    </row>
    <row r="179" spans="1:21" x14ac:dyDescent="0.2">
      <c r="A179" s="89" t="s">
        <v>346</v>
      </c>
      <c r="B179" s="179" t="s">
        <v>511</v>
      </c>
      <c r="C179" s="89">
        <v>1</v>
      </c>
      <c r="D179" s="89">
        <f t="shared" si="51"/>
        <v>6405.04</v>
      </c>
      <c r="E179" s="144">
        <f t="shared" ref="E179:E182" si="52">F179+H179+J179+L179+O179</f>
        <v>6405.04</v>
      </c>
      <c r="F179" s="144">
        <v>3481</v>
      </c>
      <c r="G179" s="144"/>
      <c r="H179" s="144">
        <v>522.15</v>
      </c>
      <c r="I179" s="144"/>
      <c r="J179" s="144"/>
      <c r="K179" s="120">
        <v>30</v>
      </c>
      <c r="L179" s="144">
        <f t="shared" ref="L179" si="53">(F179+H179+J179)*K179/100</f>
        <v>1200.9449999999999</v>
      </c>
      <c r="M179" s="144"/>
      <c r="N179" s="120">
        <v>30</v>
      </c>
      <c r="O179" s="144">
        <f t="shared" ref="O179" si="54">(F179+H179+J179)*N179/100</f>
        <v>1200.9449999999999</v>
      </c>
      <c r="P179" s="91">
        <f>C179*E179*12</f>
        <v>76860.479999999996</v>
      </c>
    </row>
    <row r="180" spans="1:21" x14ac:dyDescent="0.2">
      <c r="A180" s="89" t="s">
        <v>363</v>
      </c>
      <c r="B180" s="179" t="s">
        <v>512</v>
      </c>
      <c r="C180" s="89">
        <v>0.5</v>
      </c>
      <c r="D180" s="89">
        <f t="shared" si="51"/>
        <v>2854.41</v>
      </c>
      <c r="E180" s="144">
        <f t="shared" si="52"/>
        <v>5708.82</v>
      </c>
      <c r="F180" s="144">
        <v>3481</v>
      </c>
      <c r="G180" s="144"/>
      <c r="H180" s="144">
        <f>43.51/0.5</f>
        <v>87.02</v>
      </c>
      <c r="I180" s="144"/>
      <c r="J180" s="144"/>
      <c r="K180" s="120">
        <v>30</v>
      </c>
      <c r="L180" s="144">
        <f>535.2/0.5</f>
        <v>1070.4000000000001</v>
      </c>
      <c r="M180" s="144"/>
      <c r="N180" s="120">
        <v>30</v>
      </c>
      <c r="O180" s="144">
        <f>535.2/0.5</f>
        <v>1070.4000000000001</v>
      </c>
      <c r="P180" s="91">
        <f>C180*E180*12+0.12</f>
        <v>34253.040000000001</v>
      </c>
    </row>
    <row r="181" spans="1:21" x14ac:dyDescent="0.2">
      <c r="A181" s="89" t="s">
        <v>342</v>
      </c>
      <c r="B181" s="179" t="s">
        <v>513</v>
      </c>
      <c r="C181" s="89"/>
      <c r="D181" s="89"/>
      <c r="E181" s="144">
        <f t="shared" si="52"/>
        <v>2998.1567999999997</v>
      </c>
      <c r="F181" s="144"/>
      <c r="G181" s="144"/>
      <c r="H181" s="144"/>
      <c r="I181" s="144"/>
      <c r="J181" s="144">
        <v>1873.848</v>
      </c>
      <c r="K181" s="120">
        <v>30</v>
      </c>
      <c r="L181" s="144">
        <f t="shared" ref="L181:L182" si="55">(F181+H181+J181)*K181/100</f>
        <v>562.15440000000001</v>
      </c>
      <c r="M181" s="144"/>
      <c r="N181" s="120">
        <v>30</v>
      </c>
      <c r="O181" s="144">
        <f t="shared" ref="O181:O182" si="56">(F181+H181+J181)*N181/100</f>
        <v>562.15440000000001</v>
      </c>
      <c r="P181" s="90">
        <f>E181*12+0.04</f>
        <v>35977.921599999994</v>
      </c>
    </row>
    <row r="182" spans="1:21" x14ac:dyDescent="0.2">
      <c r="A182" s="89" t="s">
        <v>347</v>
      </c>
      <c r="B182" s="179" t="s">
        <v>514</v>
      </c>
      <c r="C182" s="89"/>
      <c r="D182" s="89"/>
      <c r="E182" s="144">
        <f t="shared" si="52"/>
        <v>118745.1664</v>
      </c>
      <c r="F182" s="144"/>
      <c r="G182" s="144"/>
      <c r="H182" s="144"/>
      <c r="I182" s="144"/>
      <c r="J182" s="145">
        <f>72850.729+1365</f>
        <v>74215.729000000007</v>
      </c>
      <c r="K182" s="120">
        <v>30</v>
      </c>
      <c r="L182" s="144">
        <f t="shared" si="55"/>
        <v>22264.718700000001</v>
      </c>
      <c r="M182" s="144"/>
      <c r="N182" s="120">
        <v>30</v>
      </c>
      <c r="O182" s="144">
        <f t="shared" si="56"/>
        <v>22264.718700000001</v>
      </c>
      <c r="P182" s="90">
        <f>E182*12-0.08</f>
        <v>1424941.9168</v>
      </c>
      <c r="Q182" s="97"/>
    </row>
    <row r="183" spans="1:21" x14ac:dyDescent="0.2">
      <c r="A183" s="89" t="s">
        <v>135</v>
      </c>
      <c r="B183" s="137">
        <v>9000</v>
      </c>
      <c r="C183" s="137" t="s">
        <v>12</v>
      </c>
      <c r="D183" s="137"/>
      <c r="E183" s="144">
        <f>SUM(E176:E182)</f>
        <v>153010.87548571429</v>
      </c>
      <c r="F183" s="144">
        <f>SUM(F176:F182)</f>
        <v>17977</v>
      </c>
      <c r="G183" s="144"/>
      <c r="H183" s="144">
        <f>SUM(H176:H182)</f>
        <v>1565.2228571428573</v>
      </c>
      <c r="I183" s="144"/>
      <c r="J183" s="144">
        <f>SUM(J176:J182)</f>
        <v>76089.577000000005</v>
      </c>
      <c r="K183" s="144"/>
      <c r="L183" s="144">
        <f>SUM(L176:L182)</f>
        <v>28689.537814285715</v>
      </c>
      <c r="M183" s="144"/>
      <c r="N183" s="144"/>
      <c r="O183" s="144">
        <f>SUM(O176:O182)</f>
        <v>28689.537814285715</v>
      </c>
      <c r="P183" s="127">
        <f>SUM(P176:P182)+0.04</f>
        <v>1907142.9964000001</v>
      </c>
    </row>
    <row r="184" spans="1:21" x14ac:dyDescent="0.2">
      <c r="A184" s="92"/>
      <c r="B184" s="93"/>
      <c r="C184" s="93"/>
      <c r="D184" s="93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94"/>
      <c r="U184" s="97"/>
    </row>
    <row r="185" spans="1:21" x14ac:dyDescent="0.2">
      <c r="A185" s="92"/>
      <c r="B185" s="93"/>
      <c r="C185" s="93"/>
      <c r="D185" s="93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94"/>
      <c r="U185" s="97"/>
    </row>
    <row r="186" spans="1:21" x14ac:dyDescent="0.2">
      <c r="A186" s="92"/>
      <c r="B186" s="93"/>
      <c r="C186" s="93"/>
      <c r="D186" s="93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94"/>
      <c r="U186" s="97"/>
    </row>
    <row r="187" spans="1:21" ht="15.75" x14ac:dyDescent="0.25">
      <c r="A187" s="86" t="s">
        <v>348</v>
      </c>
      <c r="B187" s="86"/>
      <c r="C187" s="46" t="s">
        <v>375</v>
      </c>
      <c r="D187" s="46"/>
      <c r="E187" s="79" t="s">
        <v>380</v>
      </c>
      <c r="F187" s="141">
        <v>621</v>
      </c>
      <c r="G187" s="141"/>
      <c r="H187" s="142"/>
      <c r="I187" s="142"/>
      <c r="J187" s="142"/>
      <c r="K187" s="142"/>
      <c r="L187" s="142"/>
      <c r="M187" s="142"/>
      <c r="N187" s="142"/>
      <c r="O187" s="142"/>
    </row>
    <row r="188" spans="1:21" ht="12.75" customHeight="1" x14ac:dyDescent="0.2">
      <c r="A188" s="257" t="s">
        <v>181</v>
      </c>
      <c r="B188" s="257" t="s">
        <v>1</v>
      </c>
      <c r="C188" s="257" t="s">
        <v>182</v>
      </c>
      <c r="D188" s="137"/>
      <c r="E188" s="254" t="s">
        <v>183</v>
      </c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7" t="s">
        <v>184</v>
      </c>
    </row>
    <row r="189" spans="1:21" ht="12.75" customHeight="1" x14ac:dyDescent="0.2">
      <c r="A189" s="257"/>
      <c r="B189" s="257"/>
      <c r="C189" s="257"/>
      <c r="D189" s="137"/>
      <c r="E189" s="254" t="s">
        <v>185</v>
      </c>
      <c r="F189" s="254" t="s">
        <v>15</v>
      </c>
      <c r="G189" s="254"/>
      <c r="H189" s="254"/>
      <c r="I189" s="254"/>
      <c r="J189" s="254"/>
      <c r="K189" s="254"/>
      <c r="L189" s="254"/>
      <c r="M189" s="254"/>
      <c r="N189" s="254"/>
      <c r="O189" s="254"/>
      <c r="P189" s="257"/>
    </row>
    <row r="190" spans="1:21" ht="12.75" customHeight="1" x14ac:dyDescent="0.2">
      <c r="A190" s="257"/>
      <c r="B190" s="257"/>
      <c r="C190" s="257"/>
      <c r="D190" s="137"/>
      <c r="E190" s="254"/>
      <c r="F190" s="254" t="s">
        <v>186</v>
      </c>
      <c r="G190" s="143"/>
      <c r="H190" s="254" t="s">
        <v>187</v>
      </c>
      <c r="I190" s="143"/>
      <c r="J190" s="254" t="s">
        <v>188</v>
      </c>
      <c r="K190" s="254" t="s">
        <v>189</v>
      </c>
      <c r="L190" s="254"/>
      <c r="M190" s="143"/>
      <c r="N190" s="254" t="s">
        <v>190</v>
      </c>
      <c r="O190" s="254"/>
      <c r="P190" s="257"/>
    </row>
    <row r="191" spans="1:21" ht="12.75" customHeight="1" x14ac:dyDescent="0.2">
      <c r="A191" s="257"/>
      <c r="B191" s="257"/>
      <c r="C191" s="257"/>
      <c r="D191" s="137"/>
      <c r="E191" s="254"/>
      <c r="F191" s="254"/>
      <c r="G191" s="143"/>
      <c r="H191" s="254"/>
      <c r="I191" s="143"/>
      <c r="J191" s="254"/>
      <c r="K191" s="143" t="s">
        <v>191</v>
      </c>
      <c r="L191" s="143" t="s">
        <v>192</v>
      </c>
      <c r="M191" s="143"/>
      <c r="N191" s="143" t="s">
        <v>191</v>
      </c>
      <c r="O191" s="143" t="s">
        <v>193</v>
      </c>
      <c r="P191" s="257"/>
    </row>
    <row r="192" spans="1:21" x14ac:dyDescent="0.2">
      <c r="A192" s="137">
        <v>1</v>
      </c>
      <c r="B192" s="137">
        <v>2</v>
      </c>
      <c r="C192" s="137">
        <v>3</v>
      </c>
      <c r="D192" s="137"/>
      <c r="E192" s="143">
        <v>4</v>
      </c>
      <c r="F192" s="143">
        <v>5</v>
      </c>
      <c r="G192" s="143"/>
      <c r="H192" s="143">
        <v>6</v>
      </c>
      <c r="I192" s="143"/>
      <c r="J192" s="143">
        <v>7</v>
      </c>
      <c r="K192" s="143">
        <v>8</v>
      </c>
      <c r="L192" s="143">
        <v>9</v>
      </c>
      <c r="M192" s="143"/>
      <c r="N192" s="143">
        <v>10</v>
      </c>
      <c r="O192" s="143">
        <v>11</v>
      </c>
      <c r="P192" s="137">
        <v>12</v>
      </c>
    </row>
    <row r="193" spans="1:21" x14ac:dyDescent="0.2">
      <c r="A193" s="95" t="s">
        <v>349</v>
      </c>
      <c r="B193" s="179" t="s">
        <v>486</v>
      </c>
      <c r="C193" s="96">
        <v>1</v>
      </c>
      <c r="D193" s="96">
        <f>E193*C193</f>
        <v>41198.080000000002</v>
      </c>
      <c r="E193" s="144">
        <f>F193+H193+J193+L193+O193</f>
        <v>41198.080000000002</v>
      </c>
      <c r="F193" s="147">
        <v>18392</v>
      </c>
      <c r="G193" s="147"/>
      <c r="H193" s="147">
        <f>2758.8+4598</f>
        <v>7356.8</v>
      </c>
      <c r="I193" s="147"/>
      <c r="J193" s="143"/>
      <c r="K193" s="148">
        <v>30</v>
      </c>
      <c r="L193" s="144">
        <f t="shared" ref="L193" si="57">(F193+H193+J193)*K193/100</f>
        <v>7724.64</v>
      </c>
      <c r="M193" s="144"/>
      <c r="N193" s="148">
        <v>30</v>
      </c>
      <c r="O193" s="144">
        <f t="shared" ref="O193" si="58">(F193+H193+J193)*N193/100</f>
        <v>7724.64</v>
      </c>
      <c r="P193" s="90">
        <f>E193*12</f>
        <v>494376.96000000002</v>
      </c>
    </row>
    <row r="194" spans="1:21" ht="15" customHeight="1" x14ac:dyDescent="0.2">
      <c r="A194" s="95" t="s">
        <v>350</v>
      </c>
      <c r="B194" s="179" t="s">
        <v>487</v>
      </c>
      <c r="C194" s="96">
        <v>0.65</v>
      </c>
      <c r="D194" s="96">
        <f t="shared" ref="D194:D199" si="59">E194*C194</f>
        <v>33053.019999999997</v>
      </c>
      <c r="E194" s="144">
        <f>F194+H194+J194+L194+O194</f>
        <v>50850.799999999996</v>
      </c>
      <c r="F194" s="147">
        <v>16553</v>
      </c>
      <c r="G194" s="147"/>
      <c r="H194" s="147">
        <f>(2689.86+7208.83)/0.65</f>
        <v>15228.753846153846</v>
      </c>
      <c r="I194" s="147"/>
      <c r="J194" s="149"/>
      <c r="K194" s="148">
        <v>30</v>
      </c>
      <c r="L194" s="144">
        <f>6197.44/0.65</f>
        <v>9534.5230769230766</v>
      </c>
      <c r="M194" s="144"/>
      <c r="N194" s="148">
        <v>30</v>
      </c>
      <c r="O194" s="144">
        <f>6197.44/0.65</f>
        <v>9534.5230769230766</v>
      </c>
      <c r="P194" s="90">
        <v>396636.36</v>
      </c>
    </row>
    <row r="195" spans="1:21" ht="15" customHeight="1" x14ac:dyDescent="0.2">
      <c r="A195" s="95" t="s">
        <v>351</v>
      </c>
      <c r="B195" s="179" t="s">
        <v>488</v>
      </c>
      <c r="C195" s="96">
        <v>0.5</v>
      </c>
      <c r="D195" s="96">
        <f t="shared" si="59"/>
        <v>4943</v>
      </c>
      <c r="E195" s="144">
        <f>F195+H195+J195+L195+O195</f>
        <v>9886</v>
      </c>
      <c r="F195" s="147">
        <v>4943</v>
      </c>
      <c r="G195" s="147"/>
      <c r="H195" s="147">
        <f>617.88/0.5</f>
        <v>1235.76</v>
      </c>
      <c r="I195" s="147"/>
      <c r="J195" s="149"/>
      <c r="K195" s="148">
        <v>30</v>
      </c>
      <c r="L195" s="144">
        <f>926.81/0.5</f>
        <v>1853.62</v>
      </c>
      <c r="M195" s="144"/>
      <c r="N195" s="148">
        <v>30</v>
      </c>
      <c r="O195" s="144">
        <f>926.81/0.5</f>
        <v>1853.62</v>
      </c>
      <c r="P195" s="90">
        <v>59316</v>
      </c>
    </row>
    <row r="196" spans="1:21" ht="15" customHeight="1" x14ac:dyDescent="0.2">
      <c r="A196" s="95" t="s">
        <v>352</v>
      </c>
      <c r="B196" s="179" t="s">
        <v>511</v>
      </c>
      <c r="C196" s="96">
        <v>1</v>
      </c>
      <c r="D196" s="96">
        <f t="shared" si="59"/>
        <v>7457.5199999999995</v>
      </c>
      <c r="E196" s="144">
        <f t="shared" ref="E196:E200" si="60">F196+H196+J196+L196+O196</f>
        <v>7457.5199999999995</v>
      </c>
      <c r="F196" s="147">
        <v>4053</v>
      </c>
      <c r="G196" s="147"/>
      <c r="H196" s="147">
        <v>607.95000000000005</v>
      </c>
      <c r="I196" s="147"/>
      <c r="J196" s="149"/>
      <c r="K196" s="148">
        <v>30</v>
      </c>
      <c r="L196" s="144">
        <f t="shared" ref="L196:L197" si="61">(F196+H196+J196)*K196/100</f>
        <v>1398.2850000000001</v>
      </c>
      <c r="M196" s="144"/>
      <c r="N196" s="148">
        <v>30</v>
      </c>
      <c r="O196" s="144">
        <f t="shared" ref="O196:O197" si="62">(F196+H196+J196)*N196/100</f>
        <v>1398.2850000000001</v>
      </c>
      <c r="P196" s="90">
        <f>E196*12</f>
        <v>89490.239999999991</v>
      </c>
    </row>
    <row r="197" spans="1:21" x14ac:dyDescent="0.2">
      <c r="A197" s="95" t="s">
        <v>353</v>
      </c>
      <c r="B197" s="179" t="s">
        <v>512</v>
      </c>
      <c r="C197" s="96">
        <v>1</v>
      </c>
      <c r="D197" s="96">
        <f t="shared" si="59"/>
        <v>41051.440000000002</v>
      </c>
      <c r="E197" s="144">
        <f t="shared" si="60"/>
        <v>41051.440000000002</v>
      </c>
      <c r="F197" s="147">
        <v>16553</v>
      </c>
      <c r="G197" s="147"/>
      <c r="H197" s="147">
        <f>7448.85+1655.3</f>
        <v>9104.15</v>
      </c>
      <c r="I197" s="147"/>
      <c r="J197" s="149"/>
      <c r="K197" s="148">
        <v>30</v>
      </c>
      <c r="L197" s="144">
        <f t="shared" si="61"/>
        <v>7697.1450000000004</v>
      </c>
      <c r="M197" s="144"/>
      <c r="N197" s="148">
        <v>30</v>
      </c>
      <c r="O197" s="144">
        <f t="shared" si="62"/>
        <v>7697.1450000000004</v>
      </c>
      <c r="P197" s="90">
        <f>E197*12</f>
        <v>492617.28</v>
      </c>
    </row>
    <row r="198" spans="1:21" x14ac:dyDescent="0.2">
      <c r="A198" s="89" t="s">
        <v>354</v>
      </c>
      <c r="B198" s="179" t="s">
        <v>513</v>
      </c>
      <c r="C198" s="89">
        <v>8.5</v>
      </c>
      <c r="D198" s="96">
        <f t="shared" si="59"/>
        <v>72300.800000000003</v>
      </c>
      <c r="E198" s="144">
        <f t="shared" si="60"/>
        <v>8505.9764705882353</v>
      </c>
      <c r="F198" s="150">
        <v>4576</v>
      </c>
      <c r="G198" s="150"/>
      <c r="H198" s="150">
        <f>(2288+4004)/8.5</f>
        <v>740.23529411764707</v>
      </c>
      <c r="I198" s="150"/>
      <c r="J198" s="150"/>
      <c r="K198" s="120">
        <v>30</v>
      </c>
      <c r="L198" s="144">
        <f>13556.4/8.5</f>
        <v>1594.870588235294</v>
      </c>
      <c r="M198" s="144"/>
      <c r="N198" s="120">
        <v>30</v>
      </c>
      <c r="O198" s="144">
        <f>(F198+H198)*N198/100</f>
        <v>1594.870588235294</v>
      </c>
      <c r="P198" s="90">
        <v>867609.59999999998</v>
      </c>
    </row>
    <row r="199" spans="1:21" x14ac:dyDescent="0.2">
      <c r="A199" s="89" t="s">
        <v>364</v>
      </c>
      <c r="B199" s="179" t="s">
        <v>514</v>
      </c>
      <c r="C199" s="89">
        <v>0.5</v>
      </c>
      <c r="D199" s="96">
        <f t="shared" si="59"/>
        <v>3660.8</v>
      </c>
      <c r="E199" s="144">
        <f t="shared" si="60"/>
        <v>7321.6</v>
      </c>
      <c r="F199" s="150">
        <v>4576</v>
      </c>
      <c r="G199" s="150"/>
      <c r="H199" s="150"/>
      <c r="I199" s="150"/>
      <c r="J199" s="150"/>
      <c r="K199" s="120">
        <v>30</v>
      </c>
      <c r="L199" s="144">
        <f>686.4/0.5</f>
        <v>1372.8</v>
      </c>
      <c r="M199" s="144"/>
      <c r="N199" s="120">
        <v>30</v>
      </c>
      <c r="O199" s="144">
        <f>L199</f>
        <v>1372.8</v>
      </c>
      <c r="P199" s="90">
        <v>43929.599999999999</v>
      </c>
    </row>
    <row r="200" spans="1:21" x14ac:dyDescent="0.2">
      <c r="A200" s="89" t="s">
        <v>342</v>
      </c>
      <c r="B200" s="179" t="s">
        <v>515</v>
      </c>
      <c r="C200" s="89"/>
      <c r="D200" s="89"/>
      <c r="E200" s="144">
        <f t="shared" si="60"/>
        <v>7452.3360000000002</v>
      </c>
      <c r="F200" s="144"/>
      <c r="G200" s="144"/>
      <c r="H200" s="144"/>
      <c r="I200" s="144"/>
      <c r="J200" s="144">
        <v>4657.71</v>
      </c>
      <c r="K200" s="120">
        <v>30</v>
      </c>
      <c r="L200" s="144">
        <f t="shared" ref="L200:L201" si="63">(F200+H200+J200)*K200/100</f>
        <v>1397.3129999999999</v>
      </c>
      <c r="M200" s="144"/>
      <c r="N200" s="120">
        <v>30</v>
      </c>
      <c r="O200" s="144">
        <f t="shared" ref="O200:O201" si="64">(F200+H200+J200)*N200/100</f>
        <v>1397.3129999999999</v>
      </c>
      <c r="P200" s="90">
        <f>E200*12-0.02+0.07</f>
        <v>89428.082000000009</v>
      </c>
    </row>
    <row r="201" spans="1:21" ht="25.5" x14ac:dyDescent="0.2">
      <c r="A201" s="120" t="s">
        <v>448</v>
      </c>
      <c r="B201" s="179" t="s">
        <v>516</v>
      </c>
      <c r="C201" s="89"/>
      <c r="D201" s="89"/>
      <c r="E201" s="144">
        <f>F201+H201+J201+L201+O201</f>
        <v>25595.536</v>
      </c>
      <c r="F201" s="144"/>
      <c r="G201" s="144"/>
      <c r="H201" s="144"/>
      <c r="I201" s="144"/>
      <c r="J201" s="144">
        <v>15997.21</v>
      </c>
      <c r="K201" s="120">
        <v>30</v>
      </c>
      <c r="L201" s="144">
        <f t="shared" si="63"/>
        <v>4799.1629999999996</v>
      </c>
      <c r="M201" s="144"/>
      <c r="N201" s="120">
        <v>30</v>
      </c>
      <c r="O201" s="144">
        <f t="shared" si="64"/>
        <v>4799.1629999999996</v>
      </c>
      <c r="P201" s="90">
        <v>307146.36</v>
      </c>
    </row>
    <row r="202" spans="1:21" x14ac:dyDescent="0.2">
      <c r="A202" s="120" t="s">
        <v>449</v>
      </c>
      <c r="B202" s="179" t="s">
        <v>517</v>
      </c>
      <c r="C202" s="89"/>
      <c r="D202" s="89"/>
      <c r="E202" s="144">
        <f>F202+H202+J202+L202+O202</f>
        <v>3972.7200000000003</v>
      </c>
      <c r="F202" s="144"/>
      <c r="G202" s="144"/>
      <c r="H202" s="144"/>
      <c r="I202" s="144"/>
      <c r="J202" s="144">
        <v>2482.9499999999998</v>
      </c>
      <c r="K202" s="120">
        <v>30</v>
      </c>
      <c r="L202" s="144">
        <f>J202*K202/100</f>
        <v>744.88499999999999</v>
      </c>
      <c r="M202" s="144"/>
      <c r="N202" s="120">
        <v>30</v>
      </c>
      <c r="O202" s="144">
        <f>J202*30/100</f>
        <v>744.88499999999999</v>
      </c>
      <c r="P202" s="90">
        <v>47672.639999999999</v>
      </c>
    </row>
    <row r="203" spans="1:21" x14ac:dyDescent="0.2">
      <c r="A203" s="89" t="s">
        <v>347</v>
      </c>
      <c r="B203" s="179" t="s">
        <v>518</v>
      </c>
      <c r="C203" s="89"/>
      <c r="D203" s="89"/>
      <c r="E203" s="144">
        <f t="shared" ref="E203" si="65">F203+H203+J203+L203+O203</f>
        <v>275110.55999999994</v>
      </c>
      <c r="F203" s="144"/>
      <c r="G203" s="144"/>
      <c r="H203" s="144"/>
      <c r="I203" s="144"/>
      <c r="J203" s="144">
        <f>144802.56-935.73+28077.27</f>
        <v>171944.09999999998</v>
      </c>
      <c r="K203" s="120">
        <v>30</v>
      </c>
      <c r="L203" s="144">
        <f t="shared" ref="L203" si="66">(F203+H203+J203)*K203/100</f>
        <v>51583.229999999989</v>
      </c>
      <c r="M203" s="144"/>
      <c r="N203" s="120">
        <v>30</v>
      </c>
      <c r="O203" s="144">
        <f t="shared" ref="O203" si="67">(F203+H203+J203)*N203/100</f>
        <v>51583.229999999989</v>
      </c>
      <c r="P203" s="90">
        <f>E203*12+0.05</f>
        <v>3301326.7699999991</v>
      </c>
    </row>
    <row r="204" spans="1:21" x14ac:dyDescent="0.2">
      <c r="A204" s="89" t="s">
        <v>135</v>
      </c>
      <c r="B204" s="137">
        <v>9000</v>
      </c>
      <c r="C204" s="137" t="s">
        <v>12</v>
      </c>
      <c r="D204" s="137"/>
      <c r="E204" s="144">
        <f>SUM(E198:E203)</f>
        <v>327958.72847058816</v>
      </c>
      <c r="F204" s="144">
        <f>SUM(F198:F203)</f>
        <v>9152</v>
      </c>
      <c r="G204" s="144"/>
      <c r="H204" s="144">
        <f>SUM(H198:H203)</f>
        <v>740.23529411764707</v>
      </c>
      <c r="I204" s="144"/>
      <c r="J204" s="144">
        <f>SUM(J198:J203)</f>
        <v>195081.96999999997</v>
      </c>
      <c r="K204" s="144"/>
      <c r="L204" s="144">
        <f>SUM(L198:L203)</f>
        <v>61492.261588235284</v>
      </c>
      <c r="M204" s="144"/>
      <c r="N204" s="144"/>
      <c r="O204" s="144">
        <f>SUM(O198:O203)</f>
        <v>61492.261588235284</v>
      </c>
      <c r="P204" s="127">
        <f>P193+P194+P195+P196+P197+P198+P199+P200+P201+P203+P202+0.1-0.06+0.07</f>
        <v>6189550.0019999985</v>
      </c>
      <c r="U204" s="97"/>
    </row>
    <row r="205" spans="1:21" x14ac:dyDescent="0.2">
      <c r="G205" s="142"/>
    </row>
    <row r="206" spans="1:21" x14ac:dyDescent="0.2">
      <c r="G206" s="142"/>
    </row>
    <row r="207" spans="1:21" ht="15.75" x14ac:dyDescent="0.25">
      <c r="A207" s="86" t="s">
        <v>385</v>
      </c>
      <c r="B207" s="46" t="s">
        <v>375</v>
      </c>
      <c r="C207" s="46" t="s">
        <v>384</v>
      </c>
      <c r="D207" s="46"/>
      <c r="G207" s="142"/>
      <c r="P207" s="97">
        <f>P168+P183+P204</f>
        <v>18999796</v>
      </c>
    </row>
    <row r="208" spans="1:21" ht="76.5" x14ac:dyDescent="0.2">
      <c r="A208" s="87" t="s">
        <v>319</v>
      </c>
      <c r="B208" s="87" t="s">
        <v>1</v>
      </c>
      <c r="C208" s="87" t="s">
        <v>365</v>
      </c>
      <c r="D208" s="87"/>
      <c r="E208" s="87" t="s">
        <v>366</v>
      </c>
      <c r="G208" s="142"/>
    </row>
    <row r="209" spans="1:7" ht="25.5" x14ac:dyDescent="0.2">
      <c r="A209" s="6" t="s">
        <v>335</v>
      </c>
      <c r="B209" s="178" t="s">
        <v>486</v>
      </c>
      <c r="C209" s="110">
        <f>E209/12</f>
        <v>0</v>
      </c>
      <c r="D209" s="110"/>
      <c r="E209" s="98">
        <v>0</v>
      </c>
      <c r="G209" s="142"/>
    </row>
    <row r="210" spans="1:7" ht="38.25" x14ac:dyDescent="0.2">
      <c r="A210" s="115" t="s">
        <v>420</v>
      </c>
      <c r="B210" s="178" t="s">
        <v>487</v>
      </c>
      <c r="C210" s="111">
        <f>E210/11</f>
        <v>0</v>
      </c>
      <c r="D210" s="111"/>
      <c r="E210" s="99">
        <v>0</v>
      </c>
      <c r="G210" s="142"/>
    </row>
    <row r="211" spans="1:7" ht="38.25" x14ac:dyDescent="0.2">
      <c r="A211" s="112" t="s">
        <v>421</v>
      </c>
      <c r="B211" s="178" t="s">
        <v>488</v>
      </c>
      <c r="C211" s="111">
        <f>E211/9</f>
        <v>0</v>
      </c>
      <c r="D211" s="111"/>
      <c r="E211" s="99">
        <v>0</v>
      </c>
      <c r="G211" s="142"/>
    </row>
    <row r="212" spans="1:7" ht="25.5" x14ac:dyDescent="0.2">
      <c r="A212" s="6" t="s">
        <v>419</v>
      </c>
      <c r="B212" s="178" t="s">
        <v>511</v>
      </c>
      <c r="C212" s="111">
        <f>E212/9</f>
        <v>0</v>
      </c>
      <c r="D212" s="111"/>
      <c r="E212" s="116">
        <v>0</v>
      </c>
      <c r="G212" s="142"/>
    </row>
    <row r="213" spans="1:7" ht="25.5" x14ac:dyDescent="0.2">
      <c r="A213" s="121" t="s">
        <v>422</v>
      </c>
      <c r="B213" s="178" t="s">
        <v>512</v>
      </c>
      <c r="C213" s="111">
        <f>E213/11</f>
        <v>0</v>
      </c>
      <c r="D213" s="111"/>
      <c r="E213" s="99">
        <v>0</v>
      </c>
      <c r="G213" s="142"/>
    </row>
    <row r="214" spans="1:7" x14ac:dyDescent="0.2">
      <c r="A214" s="113" t="s">
        <v>447</v>
      </c>
      <c r="B214" s="178" t="s">
        <v>513</v>
      </c>
      <c r="C214" s="111">
        <f>E214/8</f>
        <v>0</v>
      </c>
      <c r="D214" s="111"/>
      <c r="E214" s="99">
        <v>0</v>
      </c>
      <c r="G214" s="142"/>
    </row>
    <row r="215" spans="1:7" x14ac:dyDescent="0.2">
      <c r="A215" s="99" t="s">
        <v>320</v>
      </c>
      <c r="B215" s="99">
        <v>9000</v>
      </c>
      <c r="C215" s="99"/>
      <c r="D215" s="99"/>
      <c r="E215" s="100">
        <f>SUM(E209:E214)</f>
        <v>0</v>
      </c>
      <c r="G215" s="142"/>
    </row>
    <row r="216" spans="1:7" x14ac:dyDescent="0.2">
      <c r="G216" s="142"/>
    </row>
    <row r="217" spans="1:7" x14ac:dyDescent="0.2">
      <c r="G217" s="142"/>
    </row>
    <row r="218" spans="1:7" x14ac:dyDescent="0.2">
      <c r="G218" s="142"/>
    </row>
    <row r="219" spans="1:7" x14ac:dyDescent="0.2">
      <c r="G219" s="142"/>
    </row>
    <row r="220" spans="1:7" x14ac:dyDescent="0.2">
      <c r="G220" s="142"/>
    </row>
    <row r="221" spans="1:7" x14ac:dyDescent="0.2">
      <c r="G221" s="142"/>
    </row>
    <row r="222" spans="1:7" x14ac:dyDescent="0.2">
      <c r="G222" s="142"/>
    </row>
    <row r="223" spans="1:7" x14ac:dyDescent="0.2">
      <c r="G223" s="142"/>
    </row>
    <row r="224" spans="1:7" x14ac:dyDescent="0.2">
      <c r="G224" s="142"/>
    </row>
    <row r="225" spans="7:7" x14ac:dyDescent="0.2">
      <c r="G225" s="142"/>
    </row>
    <row r="226" spans="7:7" x14ac:dyDescent="0.2">
      <c r="G226" s="142"/>
    </row>
    <row r="227" spans="7:7" x14ac:dyDescent="0.2">
      <c r="G227" s="142"/>
    </row>
    <row r="228" spans="7:7" x14ac:dyDescent="0.2">
      <c r="G228" s="142"/>
    </row>
    <row r="229" spans="7:7" x14ac:dyDescent="0.2">
      <c r="G229" s="142"/>
    </row>
    <row r="230" spans="7:7" x14ac:dyDescent="0.2">
      <c r="G230" s="142"/>
    </row>
    <row r="231" spans="7:7" x14ac:dyDescent="0.2">
      <c r="G231" s="142"/>
    </row>
    <row r="232" spans="7:7" x14ac:dyDescent="0.2">
      <c r="G232" s="142"/>
    </row>
    <row r="233" spans="7:7" x14ac:dyDescent="0.2">
      <c r="G233" s="142"/>
    </row>
    <row r="234" spans="7:7" x14ac:dyDescent="0.2">
      <c r="G234" s="142"/>
    </row>
    <row r="235" spans="7:7" x14ac:dyDescent="0.2">
      <c r="G235" s="142"/>
    </row>
    <row r="236" spans="7:7" x14ac:dyDescent="0.2">
      <c r="G236" s="142"/>
    </row>
    <row r="237" spans="7:7" x14ac:dyDescent="0.2">
      <c r="G237" s="142"/>
    </row>
    <row r="238" spans="7:7" x14ac:dyDescent="0.2">
      <c r="G238" s="142"/>
    </row>
    <row r="239" spans="7:7" x14ac:dyDescent="0.2">
      <c r="G239" s="142"/>
    </row>
    <row r="240" spans="7:7" x14ac:dyDescent="0.2">
      <c r="G240" s="142"/>
    </row>
    <row r="241" spans="7:7" x14ac:dyDescent="0.2">
      <c r="G241" s="142"/>
    </row>
    <row r="242" spans="7:7" x14ac:dyDescent="0.2">
      <c r="G242" s="142"/>
    </row>
    <row r="243" spans="7:7" x14ac:dyDescent="0.2">
      <c r="G243" s="142"/>
    </row>
    <row r="244" spans="7:7" x14ac:dyDescent="0.2">
      <c r="G244" s="142"/>
    </row>
  </sheetData>
  <mergeCells count="130">
    <mergeCell ref="I86:I87"/>
    <mergeCell ref="F88:G88"/>
    <mergeCell ref="F155:G155"/>
    <mergeCell ref="I155:I156"/>
    <mergeCell ref="F157:G157"/>
    <mergeCell ref="E153:O153"/>
    <mergeCell ref="P153:P156"/>
    <mergeCell ref="E154:E156"/>
    <mergeCell ref="F154:O154"/>
    <mergeCell ref="H155:H156"/>
    <mergeCell ref="J155:J156"/>
    <mergeCell ref="K155:L155"/>
    <mergeCell ref="N155:O155"/>
    <mergeCell ref="E119:O119"/>
    <mergeCell ref="P119:P122"/>
    <mergeCell ref="E120:E122"/>
    <mergeCell ref="F120:O120"/>
    <mergeCell ref="F121:F122"/>
    <mergeCell ref="H121:H122"/>
    <mergeCell ref="J121:J122"/>
    <mergeCell ref="K121:L121"/>
    <mergeCell ref="N121:O121"/>
    <mergeCell ref="B153:B156"/>
    <mergeCell ref="C153:C156"/>
    <mergeCell ref="A1:P1"/>
    <mergeCell ref="A4:A7"/>
    <mergeCell ref="B4:B7"/>
    <mergeCell ref="C4:C7"/>
    <mergeCell ref="E4:O4"/>
    <mergeCell ref="P4:P7"/>
    <mergeCell ref="E5:E7"/>
    <mergeCell ref="F5:O5"/>
    <mergeCell ref="H6:H7"/>
    <mergeCell ref="J6:J7"/>
    <mergeCell ref="K6:L6"/>
    <mergeCell ref="N6:O6"/>
    <mergeCell ref="A23:A26"/>
    <mergeCell ref="B23:B26"/>
    <mergeCell ref="C23:C26"/>
    <mergeCell ref="E23:O23"/>
    <mergeCell ref="P23:P26"/>
    <mergeCell ref="E24:E26"/>
    <mergeCell ref="F24:O24"/>
    <mergeCell ref="A119:A122"/>
    <mergeCell ref="B119:B122"/>
    <mergeCell ref="C119:C122"/>
    <mergeCell ref="P39:P42"/>
    <mergeCell ref="E40:E42"/>
    <mergeCell ref="F40:O40"/>
    <mergeCell ref="F41:F42"/>
    <mergeCell ref="H41:H42"/>
    <mergeCell ref="J41:J42"/>
    <mergeCell ref="K41:L41"/>
    <mergeCell ref="N41:O41"/>
    <mergeCell ref="A81:P81"/>
    <mergeCell ref="A58:B58"/>
    <mergeCell ref="A59:A62"/>
    <mergeCell ref="B59:B62"/>
    <mergeCell ref="C59:C62"/>
    <mergeCell ref="E59:O59"/>
    <mergeCell ref="P59:P62"/>
    <mergeCell ref="E60:E62"/>
    <mergeCell ref="F60:O60"/>
    <mergeCell ref="F61:F62"/>
    <mergeCell ref="H61:H62"/>
    <mergeCell ref="J61:J62"/>
    <mergeCell ref="A39:A42"/>
    <mergeCell ref="B39:B42"/>
    <mergeCell ref="C39:C42"/>
    <mergeCell ref="E39:O39"/>
    <mergeCell ref="A188:A191"/>
    <mergeCell ref="B188:B191"/>
    <mergeCell ref="C188:C191"/>
    <mergeCell ref="E188:O188"/>
    <mergeCell ref="P188:P191"/>
    <mergeCell ref="E189:E191"/>
    <mergeCell ref="F189:O189"/>
    <mergeCell ref="F190:F191"/>
    <mergeCell ref="H190:H191"/>
    <mergeCell ref="J190:J191"/>
    <mergeCell ref="K190:L190"/>
    <mergeCell ref="N190:O190"/>
    <mergeCell ref="P171:P174"/>
    <mergeCell ref="E172:E174"/>
    <mergeCell ref="F172:O172"/>
    <mergeCell ref="F173:F174"/>
    <mergeCell ref="H173:H174"/>
    <mergeCell ref="J173:J174"/>
    <mergeCell ref="K173:L173"/>
    <mergeCell ref="N173:O173"/>
    <mergeCell ref="E84:O84"/>
    <mergeCell ref="P84:P87"/>
    <mergeCell ref="E85:E87"/>
    <mergeCell ref="F85:O85"/>
    <mergeCell ref="H86:H87"/>
    <mergeCell ref="J86:J87"/>
    <mergeCell ref="K86:L86"/>
    <mergeCell ref="N86:O86"/>
    <mergeCell ref="E102:O102"/>
    <mergeCell ref="P102:P105"/>
    <mergeCell ref="E103:E105"/>
    <mergeCell ref="F103:O103"/>
    <mergeCell ref="F104:F105"/>
    <mergeCell ref="H104:H105"/>
    <mergeCell ref="J104:J105"/>
    <mergeCell ref="F86:G86"/>
    <mergeCell ref="K61:L61"/>
    <mergeCell ref="N61:O61"/>
    <mergeCell ref="F6:G6"/>
    <mergeCell ref="F8:G8"/>
    <mergeCell ref="I6:I7"/>
    <mergeCell ref="A171:A174"/>
    <mergeCell ref="B171:B174"/>
    <mergeCell ref="C171:C174"/>
    <mergeCell ref="E171:O171"/>
    <mergeCell ref="A84:A87"/>
    <mergeCell ref="B84:B87"/>
    <mergeCell ref="C84:C87"/>
    <mergeCell ref="A102:A105"/>
    <mergeCell ref="B102:B105"/>
    <mergeCell ref="C102:C105"/>
    <mergeCell ref="K104:L104"/>
    <mergeCell ref="N104:O104"/>
    <mergeCell ref="F25:F26"/>
    <mergeCell ref="H25:H26"/>
    <mergeCell ref="J25:J26"/>
    <mergeCell ref="K25:L25"/>
    <mergeCell ref="N25:O25"/>
    <mergeCell ref="A150:P150"/>
    <mergeCell ref="A153:A156"/>
  </mergeCells>
  <pageMargins left="0.70866141732283472" right="0.70866141732283472" top="1.1417322834645669" bottom="0.74803149606299213" header="0.31496062992125984" footer="0.31496062992125984"/>
  <pageSetup paperSize="9" scale="6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"/>
  <sheetViews>
    <sheetView workbookViewId="0">
      <selection activeCell="H23" sqref="H23"/>
    </sheetView>
  </sheetViews>
  <sheetFormatPr defaultRowHeight="12.75" x14ac:dyDescent="0.2"/>
  <cols>
    <col min="1" max="1" width="21.42578125" style="3" customWidth="1"/>
    <col min="2" max="2" width="9.140625" style="3"/>
    <col min="3" max="12" width="10.5703125" style="3" customWidth="1"/>
    <col min="13" max="16384" width="9.140625" style="3"/>
  </cols>
  <sheetData>
    <row r="1" spans="1:12" x14ac:dyDescent="0.2">
      <c r="A1" s="3" t="s">
        <v>194</v>
      </c>
    </row>
    <row r="2" spans="1:12" x14ac:dyDescent="0.2">
      <c r="A2" s="241" t="s">
        <v>181</v>
      </c>
      <c r="B2" s="241" t="s">
        <v>1</v>
      </c>
      <c r="C2" s="241" t="s">
        <v>182</v>
      </c>
      <c r="D2" s="241" t="s">
        <v>183</v>
      </c>
      <c r="E2" s="241"/>
      <c r="F2" s="241"/>
      <c r="G2" s="241"/>
      <c r="H2" s="241"/>
      <c r="I2" s="241"/>
      <c r="J2" s="241"/>
      <c r="K2" s="241"/>
      <c r="L2" s="241" t="s">
        <v>184</v>
      </c>
    </row>
    <row r="3" spans="1:12" x14ac:dyDescent="0.2">
      <c r="A3" s="241"/>
      <c r="B3" s="241"/>
      <c r="C3" s="241"/>
      <c r="D3" s="241" t="s">
        <v>185</v>
      </c>
      <c r="E3" s="241" t="s">
        <v>15</v>
      </c>
      <c r="F3" s="241"/>
      <c r="G3" s="241"/>
      <c r="H3" s="241"/>
      <c r="I3" s="241"/>
      <c r="J3" s="241"/>
      <c r="K3" s="241"/>
      <c r="L3" s="241"/>
    </row>
    <row r="4" spans="1:12" ht="33" customHeight="1" x14ac:dyDescent="0.2">
      <c r="A4" s="241"/>
      <c r="B4" s="241"/>
      <c r="C4" s="241"/>
      <c r="D4" s="241"/>
      <c r="E4" s="241" t="s">
        <v>186</v>
      </c>
      <c r="F4" s="241" t="s">
        <v>187</v>
      </c>
      <c r="G4" s="241" t="s">
        <v>188</v>
      </c>
      <c r="H4" s="241" t="s">
        <v>189</v>
      </c>
      <c r="I4" s="241"/>
      <c r="J4" s="241" t="s">
        <v>190</v>
      </c>
      <c r="K4" s="241"/>
      <c r="L4" s="241"/>
    </row>
    <row r="5" spans="1:12" ht="51" x14ac:dyDescent="0.2">
      <c r="A5" s="241"/>
      <c r="B5" s="241"/>
      <c r="C5" s="241"/>
      <c r="D5" s="241"/>
      <c r="E5" s="241"/>
      <c r="F5" s="241"/>
      <c r="G5" s="241"/>
      <c r="H5" s="2" t="s">
        <v>191</v>
      </c>
      <c r="I5" s="2" t="s">
        <v>192</v>
      </c>
      <c r="J5" s="2" t="s">
        <v>191</v>
      </c>
      <c r="K5" s="2" t="s">
        <v>193</v>
      </c>
      <c r="L5" s="241"/>
    </row>
    <row r="6" spans="1:12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x14ac:dyDescent="0.2">
      <c r="A7" s="6"/>
      <c r="B7" s="2">
        <v>1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6"/>
      <c r="B8" s="2">
        <v>2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A10" s="6" t="s">
        <v>135</v>
      </c>
      <c r="B10" s="2">
        <v>9000</v>
      </c>
      <c r="C10" s="2" t="s">
        <v>12</v>
      </c>
      <c r="D10" s="6"/>
      <c r="E10" s="6"/>
      <c r="F10" s="6"/>
      <c r="G10" s="6"/>
      <c r="H10" s="6"/>
      <c r="I10" s="6"/>
      <c r="J10" s="6"/>
      <c r="K10" s="6"/>
      <c r="L10" s="6"/>
    </row>
  </sheetData>
  <mergeCells count="12">
    <mergeCell ref="A2:A5"/>
    <mergeCell ref="B2:B5"/>
    <mergeCell ref="C2:C5"/>
    <mergeCell ref="D2:K2"/>
    <mergeCell ref="L2:L5"/>
    <mergeCell ref="D3:D5"/>
    <mergeCell ref="E3:K3"/>
    <mergeCell ref="E4:E5"/>
    <mergeCell ref="F4:F5"/>
    <mergeCell ref="G4:G5"/>
    <mergeCell ref="H4:I4"/>
    <mergeCell ref="J4:K4"/>
  </mergeCells>
  <pageMargins left="0.7" right="0.7" top="0.75" bottom="0.75" header="0.3" footer="0.3"/>
  <pageSetup paperSize="9" scale="96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"/>
  <sheetViews>
    <sheetView workbookViewId="0">
      <selection activeCell="K32" sqref="K32"/>
    </sheetView>
  </sheetViews>
  <sheetFormatPr defaultRowHeight="12.75" x14ac:dyDescent="0.2"/>
  <cols>
    <col min="1" max="1" width="22.28515625" style="3" customWidth="1"/>
    <col min="2" max="2" width="15" style="3" customWidth="1"/>
    <col min="3" max="12" width="13.28515625" style="3" customWidth="1"/>
    <col min="13" max="16384" width="9.140625" style="3"/>
  </cols>
  <sheetData>
    <row r="1" spans="1:12" x14ac:dyDescent="0.2">
      <c r="A1" s="3" t="s">
        <v>195</v>
      </c>
    </row>
    <row r="2" spans="1:12" x14ac:dyDescent="0.2">
      <c r="A2" s="241" t="s">
        <v>181</v>
      </c>
      <c r="B2" s="241" t="s">
        <v>1</v>
      </c>
      <c r="C2" s="241" t="s">
        <v>182</v>
      </c>
      <c r="D2" s="241" t="s">
        <v>183</v>
      </c>
      <c r="E2" s="241"/>
      <c r="F2" s="241"/>
      <c r="G2" s="241"/>
      <c r="H2" s="241"/>
      <c r="I2" s="241"/>
      <c r="J2" s="241"/>
      <c r="K2" s="241"/>
      <c r="L2" s="241" t="s">
        <v>184</v>
      </c>
    </row>
    <row r="3" spans="1:12" x14ac:dyDescent="0.2">
      <c r="A3" s="241"/>
      <c r="B3" s="241"/>
      <c r="C3" s="241"/>
      <c r="D3" s="241" t="s">
        <v>185</v>
      </c>
      <c r="E3" s="241" t="s">
        <v>15</v>
      </c>
      <c r="F3" s="241"/>
      <c r="G3" s="241"/>
      <c r="H3" s="241"/>
      <c r="I3" s="241"/>
      <c r="J3" s="241"/>
      <c r="K3" s="241"/>
      <c r="L3" s="241"/>
    </row>
    <row r="4" spans="1:12" ht="33" customHeight="1" x14ac:dyDescent="0.2">
      <c r="A4" s="241"/>
      <c r="B4" s="241"/>
      <c r="C4" s="241"/>
      <c r="D4" s="241"/>
      <c r="E4" s="241" t="s">
        <v>186</v>
      </c>
      <c r="F4" s="241" t="s">
        <v>187</v>
      </c>
      <c r="G4" s="241" t="s">
        <v>188</v>
      </c>
      <c r="H4" s="241" t="s">
        <v>189</v>
      </c>
      <c r="I4" s="241"/>
      <c r="J4" s="241" t="s">
        <v>190</v>
      </c>
      <c r="K4" s="241"/>
      <c r="L4" s="241"/>
    </row>
    <row r="5" spans="1:12" ht="38.25" x14ac:dyDescent="0.2">
      <c r="A5" s="241"/>
      <c r="B5" s="241"/>
      <c r="C5" s="241"/>
      <c r="D5" s="241"/>
      <c r="E5" s="241"/>
      <c r="F5" s="241"/>
      <c r="G5" s="241"/>
      <c r="H5" s="2" t="s">
        <v>191</v>
      </c>
      <c r="I5" s="2" t="s">
        <v>192</v>
      </c>
      <c r="J5" s="2" t="s">
        <v>191</v>
      </c>
      <c r="K5" s="2" t="s">
        <v>193</v>
      </c>
      <c r="L5" s="241"/>
    </row>
    <row r="6" spans="1:12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x14ac:dyDescent="0.2">
      <c r="A7" s="6"/>
      <c r="B7" s="2">
        <v>1</v>
      </c>
      <c r="C7" s="6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6"/>
      <c r="B8" s="2">
        <v>2</v>
      </c>
      <c r="C8" s="6"/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6"/>
      <c r="B9" s="6"/>
      <c r="C9" s="6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6" t="s">
        <v>135</v>
      </c>
      <c r="B10" s="2">
        <v>9000</v>
      </c>
      <c r="C10" s="2" t="s">
        <v>12</v>
      </c>
      <c r="D10" s="2"/>
      <c r="E10" s="2"/>
      <c r="F10" s="2"/>
      <c r="G10" s="2"/>
      <c r="H10" s="2"/>
      <c r="I10" s="2"/>
      <c r="J10" s="2"/>
      <c r="K10" s="2"/>
      <c r="L10" s="2"/>
    </row>
  </sheetData>
  <mergeCells count="12">
    <mergeCell ref="A2:A5"/>
    <mergeCell ref="B2:B5"/>
    <mergeCell ref="C2:C5"/>
    <mergeCell ref="D2:K2"/>
    <mergeCell ref="L2:L5"/>
    <mergeCell ref="D3:D5"/>
    <mergeCell ref="E3:K3"/>
    <mergeCell ref="E4:E5"/>
    <mergeCell ref="F4:F5"/>
    <mergeCell ref="G4:G5"/>
    <mergeCell ref="H4:I4"/>
    <mergeCell ref="J4:K4"/>
  </mergeCells>
  <pageMargins left="0.7" right="0.7" top="0.75" bottom="0.75" header="0.3" footer="0.3"/>
  <pageSetup paperSize="9" scale="77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16"/>
  <sheetViews>
    <sheetView workbookViewId="0">
      <selection sqref="A1:E19"/>
    </sheetView>
  </sheetViews>
  <sheetFormatPr defaultRowHeight="12.75" x14ac:dyDescent="0.2"/>
  <cols>
    <col min="1" max="1" width="43.140625" style="3" customWidth="1"/>
    <col min="2" max="2" width="9.140625" style="3"/>
    <col min="3" max="5" width="21.42578125" style="3" customWidth="1"/>
    <col min="6" max="16384" width="9.140625" style="3"/>
  </cols>
  <sheetData>
    <row r="1" spans="1:5" ht="29.25" customHeight="1" x14ac:dyDescent="0.25">
      <c r="A1" s="245" t="s">
        <v>202</v>
      </c>
      <c r="B1" s="245"/>
      <c r="C1" s="245"/>
      <c r="D1" s="245"/>
      <c r="E1" s="245"/>
    </row>
    <row r="2" spans="1:5" ht="15.75" x14ac:dyDescent="0.25">
      <c r="A2" s="56"/>
      <c r="B2" s="56"/>
      <c r="C2" s="56"/>
      <c r="D2" s="56"/>
      <c r="E2" s="56"/>
    </row>
    <row r="3" spans="1:5" ht="29.25" customHeight="1" x14ac:dyDescent="0.25">
      <c r="A3" s="245" t="s">
        <v>203</v>
      </c>
      <c r="B3" s="245"/>
      <c r="C3" s="245"/>
      <c r="D3" s="245"/>
      <c r="E3" s="245"/>
    </row>
    <row r="4" spans="1:5" ht="15.75" x14ac:dyDescent="0.25">
      <c r="A4" s="46"/>
      <c r="B4" s="46"/>
      <c r="C4" s="46"/>
      <c r="D4" s="46"/>
      <c r="E4" s="46"/>
    </row>
    <row r="5" spans="1:5" x14ac:dyDescent="0.2">
      <c r="A5" s="241" t="s">
        <v>0</v>
      </c>
      <c r="B5" s="241" t="s">
        <v>1</v>
      </c>
      <c r="C5" s="241" t="s">
        <v>115</v>
      </c>
      <c r="D5" s="241"/>
      <c r="E5" s="241"/>
    </row>
    <row r="6" spans="1:5" x14ac:dyDescent="0.2">
      <c r="A6" s="241"/>
      <c r="B6" s="241"/>
      <c r="C6" s="48" t="s">
        <v>418</v>
      </c>
      <c r="D6" s="48" t="s">
        <v>451</v>
      </c>
      <c r="E6" s="48" t="s">
        <v>590</v>
      </c>
    </row>
    <row r="7" spans="1:5" ht="25.5" x14ac:dyDescent="0.2">
      <c r="A7" s="241"/>
      <c r="B7" s="241"/>
      <c r="C7" s="48" t="s">
        <v>75</v>
      </c>
      <c r="D7" s="48" t="s">
        <v>76</v>
      </c>
      <c r="E7" s="48" t="s">
        <v>77</v>
      </c>
    </row>
    <row r="8" spans="1:5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25.5" x14ac:dyDescent="0.2">
      <c r="A9" s="6" t="s">
        <v>196</v>
      </c>
      <c r="B9" s="178" t="s">
        <v>501</v>
      </c>
      <c r="C9" s="5"/>
      <c r="D9" s="5"/>
      <c r="E9" s="5"/>
    </row>
    <row r="10" spans="1:5" ht="38.25" x14ac:dyDescent="0.2">
      <c r="A10" s="6" t="s">
        <v>197</v>
      </c>
      <c r="B10" s="178" t="s">
        <v>502</v>
      </c>
      <c r="C10" s="5"/>
      <c r="D10" s="5"/>
      <c r="E10" s="5"/>
    </row>
    <row r="11" spans="1:5" ht="25.5" x14ac:dyDescent="0.2">
      <c r="A11" s="6" t="s">
        <v>198</v>
      </c>
      <c r="B11" s="178" t="s">
        <v>503</v>
      </c>
      <c r="C11" s="40">
        <f>C12+C13</f>
        <v>5780612.0019999994</v>
      </c>
      <c r="D11" s="40">
        <f>D12+D13</f>
        <v>5737934.0019999994</v>
      </c>
      <c r="E11" s="40">
        <f t="shared" ref="E11" si="0">E12+E13</f>
        <v>5737934.0019999994</v>
      </c>
    </row>
    <row r="12" spans="1:5" ht="13.5" x14ac:dyDescent="0.2">
      <c r="A12" s="63" t="s">
        <v>299</v>
      </c>
      <c r="B12" s="180"/>
      <c r="C12" s="43">
        <f>'3.7.2'!F20+'3.7.2'!F39+'3.7.2'!F58+'3.7.2'!F77+'3.7.2'!F96</f>
        <v>5780612.0019999994</v>
      </c>
      <c r="D12" s="5">
        <f>'3.7.2'!G20+'3.7.2'!G39+'3.7.2'!G58+'3.7.2'!G77+'3.7.2'!G96</f>
        <v>5737934.0019999994</v>
      </c>
      <c r="E12" s="5">
        <f>'3.7.2'!H20+'3.7.2'!H39+'3.7.2'!H58</f>
        <v>5737934.0019999994</v>
      </c>
    </row>
    <row r="13" spans="1:5" ht="13.5" x14ac:dyDescent="0.2">
      <c r="A13" s="63" t="s">
        <v>300</v>
      </c>
      <c r="B13" s="180"/>
      <c r="C13" s="43">
        <f>'3.7.2'!F77</f>
        <v>0</v>
      </c>
      <c r="D13" s="5">
        <f>'3.7.2'!G77</f>
        <v>0</v>
      </c>
      <c r="E13" s="5">
        <f>D13</f>
        <v>0</v>
      </c>
    </row>
    <row r="14" spans="1:5" ht="25.5" x14ac:dyDescent="0.2">
      <c r="A14" s="6" t="s">
        <v>199</v>
      </c>
      <c r="B14" s="178" t="s">
        <v>508</v>
      </c>
      <c r="C14" s="5"/>
      <c r="D14" s="5"/>
      <c r="E14" s="5"/>
    </row>
    <row r="15" spans="1:5" ht="38.25" x14ac:dyDescent="0.2">
      <c r="A15" s="6" t="s">
        <v>200</v>
      </c>
      <c r="B15" s="178" t="s">
        <v>509</v>
      </c>
      <c r="C15" s="5"/>
      <c r="D15" s="5"/>
      <c r="E15" s="5"/>
    </row>
    <row r="16" spans="1:5" ht="38.25" x14ac:dyDescent="0.2">
      <c r="A16" s="6" t="s">
        <v>201</v>
      </c>
      <c r="B16" s="178" t="s">
        <v>510</v>
      </c>
      <c r="C16" s="5">
        <f>C11</f>
        <v>5780612.0019999994</v>
      </c>
      <c r="D16" s="5">
        <f t="shared" ref="D16:E16" si="1">D11</f>
        <v>5737934.0019999994</v>
      </c>
      <c r="E16" s="5">
        <f t="shared" si="1"/>
        <v>5737934.0019999994</v>
      </c>
    </row>
  </sheetData>
  <mergeCells count="5">
    <mergeCell ref="A5:A7"/>
    <mergeCell ref="B5:B7"/>
    <mergeCell ref="C5:E5"/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96"/>
  <sheetViews>
    <sheetView topLeftCell="A74" workbookViewId="0">
      <selection sqref="A1:I96"/>
    </sheetView>
  </sheetViews>
  <sheetFormatPr defaultRowHeight="12.75" x14ac:dyDescent="0.2"/>
  <cols>
    <col min="1" max="1" width="49.28515625" style="3" customWidth="1"/>
    <col min="2" max="2" width="9.140625" style="3"/>
    <col min="3" max="8" width="14.140625" style="3" customWidth="1"/>
    <col min="9" max="14" width="9.140625" style="3"/>
    <col min="15" max="15" width="10" style="3" bestFit="1" customWidth="1"/>
    <col min="16" max="16384" width="9.140625" style="3"/>
  </cols>
  <sheetData>
    <row r="1" spans="1:8" ht="15.75" x14ac:dyDescent="0.25">
      <c r="A1" s="79" t="s">
        <v>215</v>
      </c>
      <c r="B1" s="79"/>
      <c r="C1" s="79"/>
      <c r="D1" s="79"/>
      <c r="E1" s="79"/>
      <c r="F1" s="79"/>
      <c r="G1" s="79"/>
      <c r="H1" s="79"/>
    </row>
    <row r="2" spans="1:8" ht="15.75" x14ac:dyDescent="0.25">
      <c r="A2" s="51"/>
      <c r="B2" s="51"/>
      <c r="C2" s="51"/>
      <c r="D2" s="51"/>
      <c r="E2" s="51"/>
      <c r="F2" s="51"/>
      <c r="G2" s="51"/>
      <c r="H2" s="51"/>
    </row>
    <row r="3" spans="1:8" ht="15.75" x14ac:dyDescent="0.25">
      <c r="A3" s="51"/>
      <c r="B3" s="51"/>
      <c r="C3" s="51"/>
      <c r="D3" s="51"/>
      <c r="E3" s="51"/>
      <c r="F3" s="51"/>
      <c r="G3" s="51"/>
      <c r="H3" s="51"/>
    </row>
    <row r="4" spans="1:8" ht="15.75" x14ac:dyDescent="0.25">
      <c r="A4" s="46" t="s">
        <v>377</v>
      </c>
      <c r="B4" s="46" t="s">
        <v>375</v>
      </c>
      <c r="C4" s="46" t="s">
        <v>376</v>
      </c>
      <c r="D4" s="47">
        <v>621</v>
      </c>
      <c r="E4" s="51"/>
      <c r="F4" s="51"/>
      <c r="G4" s="51"/>
      <c r="H4" s="51"/>
    </row>
    <row r="5" spans="1:8" x14ac:dyDescent="0.2">
      <c r="A5" s="241" t="s">
        <v>204</v>
      </c>
      <c r="B5" s="241" t="s">
        <v>1</v>
      </c>
      <c r="C5" s="247" t="s">
        <v>205</v>
      </c>
      <c r="D5" s="247"/>
      <c r="E5" s="247"/>
      <c r="F5" s="247" t="s">
        <v>206</v>
      </c>
      <c r="G5" s="247"/>
      <c r="H5" s="247"/>
    </row>
    <row r="6" spans="1:8" x14ac:dyDescent="0.2">
      <c r="A6" s="241"/>
      <c r="B6" s="241"/>
      <c r="C6" s="48" t="s">
        <v>418</v>
      </c>
      <c r="D6" s="48" t="s">
        <v>451</v>
      </c>
      <c r="E6" s="48" t="s">
        <v>590</v>
      </c>
      <c r="F6" s="204" t="s">
        <v>418</v>
      </c>
      <c r="G6" s="204" t="s">
        <v>451</v>
      </c>
      <c r="H6" s="204" t="s">
        <v>590</v>
      </c>
    </row>
    <row r="7" spans="1:8" ht="38.25" x14ac:dyDescent="0.2">
      <c r="A7" s="241"/>
      <c r="B7" s="241"/>
      <c r="C7" s="48" t="s">
        <v>75</v>
      </c>
      <c r="D7" s="48" t="s">
        <v>76</v>
      </c>
      <c r="E7" s="48" t="s">
        <v>77</v>
      </c>
      <c r="F7" s="48" t="s">
        <v>75</v>
      </c>
      <c r="G7" s="48" t="s">
        <v>76</v>
      </c>
      <c r="H7" s="48" t="s">
        <v>77</v>
      </c>
    </row>
    <row r="8" spans="1:8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8" ht="25.5" x14ac:dyDescent="0.2">
      <c r="A9" s="6" t="s">
        <v>207</v>
      </c>
      <c r="B9" s="178" t="s">
        <v>501</v>
      </c>
      <c r="C9" s="5"/>
      <c r="D9" s="5"/>
      <c r="E9" s="5"/>
      <c r="F9" s="5">
        <f>F10</f>
        <v>572142.7189199999</v>
      </c>
      <c r="G9" s="5">
        <f t="shared" ref="G9:H9" si="0">G10</f>
        <v>572142.7189199999</v>
      </c>
      <c r="H9" s="5">
        <f t="shared" si="0"/>
        <v>572142.7189199999</v>
      </c>
    </row>
    <row r="10" spans="1:8" x14ac:dyDescent="0.2">
      <c r="A10" s="6" t="s">
        <v>15</v>
      </c>
      <c r="B10" s="242" t="s">
        <v>519</v>
      </c>
      <c r="C10" s="244">
        <f>'3.6.3 Штатка'!P35</f>
        <v>1907142.9964000001</v>
      </c>
      <c r="D10" s="244">
        <f>'3.6.3 Штатка'!P114</f>
        <v>1907142.9964000001</v>
      </c>
      <c r="E10" s="244">
        <f>D10</f>
        <v>1907142.9964000001</v>
      </c>
      <c r="F10" s="244">
        <f>C10/100*30-0.18</f>
        <v>572142.7189199999</v>
      </c>
      <c r="G10" s="244">
        <f>D10/100*30-0.18</f>
        <v>572142.7189199999</v>
      </c>
      <c r="H10" s="244">
        <f>G10</f>
        <v>572142.7189199999</v>
      </c>
    </row>
    <row r="11" spans="1:8" x14ac:dyDescent="0.2">
      <c r="A11" s="6" t="s">
        <v>208</v>
      </c>
      <c r="B11" s="242"/>
      <c r="C11" s="244"/>
      <c r="D11" s="244"/>
      <c r="E11" s="244"/>
      <c r="F11" s="244"/>
      <c r="G11" s="244"/>
      <c r="H11" s="244"/>
    </row>
    <row r="12" spans="1:8" x14ac:dyDescent="0.2">
      <c r="A12" s="6" t="s">
        <v>209</v>
      </c>
      <c r="B12" s="178" t="s">
        <v>520</v>
      </c>
      <c r="C12" s="5"/>
      <c r="D12" s="5"/>
      <c r="E12" s="5"/>
      <c r="F12" s="5"/>
      <c r="G12" s="5"/>
      <c r="H12" s="5"/>
    </row>
    <row r="13" spans="1:8" ht="38.25" x14ac:dyDescent="0.2">
      <c r="A13" s="6" t="s">
        <v>210</v>
      </c>
      <c r="B13" s="178" t="s">
        <v>502</v>
      </c>
      <c r="C13" s="5"/>
      <c r="D13" s="5"/>
      <c r="E13" s="5"/>
      <c r="F13" s="5"/>
      <c r="G13" s="5"/>
      <c r="H13" s="5"/>
    </row>
    <row r="14" spans="1:8" ht="25.5" x14ac:dyDescent="0.2">
      <c r="A14" s="6" t="s">
        <v>211</v>
      </c>
      <c r="B14" s="242" t="s">
        <v>521</v>
      </c>
      <c r="C14" s="5"/>
      <c r="D14" s="5"/>
      <c r="E14" s="5"/>
      <c r="F14" s="5">
        <f>F17</f>
        <v>3814.2859927999998</v>
      </c>
      <c r="G14" s="131">
        <f t="shared" ref="G14:H14" si="1">G17</f>
        <v>3814.2859927999998</v>
      </c>
      <c r="H14" s="131">
        <f t="shared" si="1"/>
        <v>3814.2859927999998</v>
      </c>
    </row>
    <row r="15" spans="1:8" x14ac:dyDescent="0.2">
      <c r="A15" s="6" t="s">
        <v>15</v>
      </c>
      <c r="B15" s="242"/>
      <c r="C15" s="131"/>
      <c r="D15" s="131"/>
      <c r="E15" s="131"/>
      <c r="F15" s="131"/>
      <c r="G15" s="131"/>
      <c r="H15" s="131"/>
    </row>
    <row r="16" spans="1:8" ht="25.5" x14ac:dyDescent="0.2">
      <c r="A16" s="6" t="s">
        <v>212</v>
      </c>
      <c r="B16" s="178" t="s">
        <v>522</v>
      </c>
      <c r="C16" s="5"/>
      <c r="D16" s="5"/>
      <c r="E16" s="5"/>
      <c r="F16" s="5"/>
      <c r="G16" s="5"/>
      <c r="H16" s="5"/>
    </row>
    <row r="17" spans="1:8" ht="38.25" x14ac:dyDescent="0.2">
      <c r="A17" s="6" t="s">
        <v>213</v>
      </c>
      <c r="B17" s="178" t="s">
        <v>523</v>
      </c>
      <c r="C17" s="5">
        <f>C10</f>
        <v>1907142.9964000001</v>
      </c>
      <c r="D17" s="5">
        <f>D10</f>
        <v>1907142.9964000001</v>
      </c>
      <c r="E17" s="5">
        <f>D17</f>
        <v>1907142.9964000001</v>
      </c>
      <c r="F17" s="5">
        <f>C17/100*0.2</f>
        <v>3814.2859927999998</v>
      </c>
      <c r="G17" s="5">
        <f t="shared" ref="G17:H17" si="2">D17/100*0.2</f>
        <v>3814.2859927999998</v>
      </c>
      <c r="H17" s="5">
        <f t="shared" si="2"/>
        <v>3814.2859927999998</v>
      </c>
    </row>
    <row r="18" spans="1:8" ht="38.25" x14ac:dyDescent="0.2">
      <c r="A18" s="4" t="s">
        <v>214</v>
      </c>
      <c r="B18" s="178" t="s">
        <v>524</v>
      </c>
      <c r="C18" s="5"/>
      <c r="D18" s="5"/>
      <c r="E18" s="5"/>
      <c r="F18" s="5"/>
      <c r="G18" s="5"/>
      <c r="H18" s="5"/>
    </row>
    <row r="19" spans="1:8" ht="38.25" x14ac:dyDescent="0.2">
      <c r="A19" s="4" t="s">
        <v>214</v>
      </c>
      <c r="B19" s="6"/>
      <c r="C19" s="5"/>
      <c r="D19" s="5"/>
      <c r="E19" s="5"/>
      <c r="F19" s="5"/>
      <c r="G19" s="5"/>
      <c r="H19" s="5"/>
    </row>
    <row r="20" spans="1:8" x14ac:dyDescent="0.2">
      <c r="A20" s="49" t="s">
        <v>135</v>
      </c>
      <c r="B20" s="48">
        <v>9000</v>
      </c>
      <c r="C20" s="48" t="s">
        <v>12</v>
      </c>
      <c r="D20" s="48" t="s">
        <v>12</v>
      </c>
      <c r="E20" s="48" t="s">
        <v>12</v>
      </c>
      <c r="F20" s="50">
        <f>F9+F14</f>
        <v>575957.00491279992</v>
      </c>
      <c r="G20" s="50">
        <f t="shared" ref="G20:H20" si="3">G9+G14</f>
        <v>575957.00491279992</v>
      </c>
      <c r="H20" s="50">
        <f t="shared" si="3"/>
        <v>575957.00491279992</v>
      </c>
    </row>
    <row r="23" spans="1:8" ht="15.75" x14ac:dyDescent="0.25">
      <c r="A23" s="46" t="s">
        <v>378</v>
      </c>
      <c r="B23" s="46" t="s">
        <v>375</v>
      </c>
      <c r="C23" s="46" t="s">
        <v>379</v>
      </c>
      <c r="D23" s="47">
        <v>621</v>
      </c>
      <c r="E23" s="51"/>
      <c r="F23" s="51"/>
      <c r="G23" s="51"/>
      <c r="H23" s="51"/>
    </row>
    <row r="24" spans="1:8" ht="12.75" customHeight="1" x14ac:dyDescent="0.2">
      <c r="A24" s="241" t="s">
        <v>204</v>
      </c>
      <c r="B24" s="241" t="s">
        <v>1</v>
      </c>
      <c r="C24" s="247" t="s">
        <v>205</v>
      </c>
      <c r="D24" s="247"/>
      <c r="E24" s="247"/>
      <c r="F24" s="247" t="s">
        <v>206</v>
      </c>
      <c r="G24" s="247"/>
      <c r="H24" s="247"/>
    </row>
    <row r="25" spans="1:8" x14ac:dyDescent="0.2">
      <c r="A25" s="241"/>
      <c r="B25" s="241"/>
      <c r="C25" s="204" t="s">
        <v>418</v>
      </c>
      <c r="D25" s="204" t="s">
        <v>451</v>
      </c>
      <c r="E25" s="204" t="s">
        <v>590</v>
      </c>
      <c r="F25" s="204" t="s">
        <v>418</v>
      </c>
      <c r="G25" s="204" t="s">
        <v>451</v>
      </c>
      <c r="H25" s="204" t="s">
        <v>590</v>
      </c>
    </row>
    <row r="26" spans="1:8" ht="38.25" x14ac:dyDescent="0.2">
      <c r="A26" s="241"/>
      <c r="B26" s="241"/>
      <c r="C26" s="48" t="s">
        <v>75</v>
      </c>
      <c r="D26" s="48" t="s">
        <v>76</v>
      </c>
      <c r="E26" s="48" t="s">
        <v>77</v>
      </c>
      <c r="F26" s="48" t="s">
        <v>75</v>
      </c>
      <c r="G26" s="48" t="s">
        <v>76</v>
      </c>
      <c r="H26" s="48" t="s">
        <v>77</v>
      </c>
    </row>
    <row r="27" spans="1:8" x14ac:dyDescent="0.2">
      <c r="A27" s="2">
        <v>1</v>
      </c>
      <c r="B27" s="2">
        <v>2</v>
      </c>
      <c r="C27" s="2">
        <v>3</v>
      </c>
      <c r="D27" s="2">
        <v>4</v>
      </c>
      <c r="E27" s="2">
        <v>5</v>
      </c>
      <c r="F27" s="2">
        <v>6</v>
      </c>
      <c r="G27" s="2">
        <v>7</v>
      </c>
      <c r="H27" s="2">
        <v>8</v>
      </c>
    </row>
    <row r="28" spans="1:8" ht="25.5" x14ac:dyDescent="0.2">
      <c r="A28" s="6" t="s">
        <v>207</v>
      </c>
      <c r="B28" s="178" t="s">
        <v>501</v>
      </c>
      <c r="C28" s="5"/>
      <c r="D28" s="5"/>
      <c r="E28" s="5"/>
      <c r="F28" s="5">
        <f>F29+F31+F32</f>
        <v>3270930.7904800004</v>
      </c>
      <c r="G28" s="5">
        <f t="shared" ref="G28:H28" si="4">G29+G31+G32</f>
        <v>3270930.7904800004</v>
      </c>
      <c r="H28" s="5">
        <f t="shared" si="4"/>
        <v>3270930.7904800004</v>
      </c>
    </row>
    <row r="29" spans="1:8" x14ac:dyDescent="0.2">
      <c r="A29" s="6" t="s">
        <v>15</v>
      </c>
      <c r="B29" s="242" t="s">
        <v>519</v>
      </c>
      <c r="C29" s="244">
        <f>'3.6.3 Штатка'!P19</f>
        <v>10903103.001600001</v>
      </c>
      <c r="D29" s="244">
        <f>'3.6.3 Штатка'!P99</f>
        <v>10903103.001600001</v>
      </c>
      <c r="E29" s="244">
        <f>D29</f>
        <v>10903103.001600001</v>
      </c>
      <c r="F29" s="244">
        <f>C29/100*30-0.11</f>
        <v>3270930.7904800004</v>
      </c>
      <c r="G29" s="244">
        <f>D29/100*30-0.11</f>
        <v>3270930.7904800004</v>
      </c>
      <c r="H29" s="244">
        <f>G29</f>
        <v>3270930.7904800004</v>
      </c>
    </row>
    <row r="30" spans="1:8" x14ac:dyDescent="0.2">
      <c r="A30" s="6" t="s">
        <v>208</v>
      </c>
      <c r="B30" s="242"/>
      <c r="C30" s="244"/>
      <c r="D30" s="244"/>
      <c r="E30" s="244"/>
      <c r="F30" s="244"/>
      <c r="G30" s="244"/>
      <c r="H30" s="244"/>
    </row>
    <row r="31" spans="1:8" x14ac:dyDescent="0.2">
      <c r="A31" s="6" t="s">
        <v>209</v>
      </c>
      <c r="B31" s="178" t="s">
        <v>520</v>
      </c>
      <c r="C31" s="5"/>
      <c r="D31" s="5"/>
      <c r="E31" s="5"/>
      <c r="F31" s="5"/>
      <c r="G31" s="5"/>
      <c r="H31" s="5"/>
    </row>
    <row r="32" spans="1:8" ht="38.25" x14ac:dyDescent="0.2">
      <c r="A32" s="6" t="s">
        <v>210</v>
      </c>
      <c r="B32" s="178" t="s">
        <v>502</v>
      </c>
      <c r="C32" s="5"/>
      <c r="D32" s="5"/>
      <c r="E32" s="5"/>
      <c r="F32" s="5"/>
      <c r="G32" s="5"/>
      <c r="H32" s="5"/>
    </row>
    <row r="33" spans="1:8" ht="25.5" x14ac:dyDescent="0.2">
      <c r="A33" s="6" t="s">
        <v>211</v>
      </c>
      <c r="B33" s="242" t="s">
        <v>521</v>
      </c>
      <c r="C33" s="5"/>
      <c r="D33" s="5"/>
      <c r="E33" s="5"/>
      <c r="F33" s="5">
        <f>F34+F36</f>
        <v>21806.206003200001</v>
      </c>
      <c r="G33" s="5">
        <f>G34+G36</f>
        <v>21806.206003200001</v>
      </c>
      <c r="H33" s="5">
        <f>H34+H36</f>
        <v>21806.206003200001</v>
      </c>
    </row>
    <row r="34" spans="1:8" x14ac:dyDescent="0.2">
      <c r="A34" s="6" t="s">
        <v>15</v>
      </c>
      <c r="B34" s="242"/>
      <c r="C34" s="131"/>
      <c r="D34" s="131"/>
      <c r="E34" s="131"/>
      <c r="F34" s="131"/>
      <c r="G34" s="131"/>
      <c r="H34" s="131"/>
    </row>
    <row r="35" spans="1:8" ht="25.5" x14ac:dyDescent="0.2">
      <c r="A35" s="6" t="s">
        <v>212</v>
      </c>
      <c r="B35" s="178" t="s">
        <v>522</v>
      </c>
      <c r="C35" s="5"/>
      <c r="D35" s="5"/>
      <c r="E35" s="5"/>
      <c r="F35" s="5"/>
      <c r="G35" s="5"/>
      <c r="H35" s="5"/>
    </row>
    <row r="36" spans="1:8" ht="38.25" x14ac:dyDescent="0.2">
      <c r="A36" s="6" t="s">
        <v>213</v>
      </c>
      <c r="B36" s="178" t="s">
        <v>523</v>
      </c>
      <c r="C36" s="5">
        <f>C29</f>
        <v>10903103.001600001</v>
      </c>
      <c r="D36" s="5">
        <f>D29</f>
        <v>10903103.001600001</v>
      </c>
      <c r="E36" s="5">
        <f>E29</f>
        <v>10903103.001600001</v>
      </c>
      <c r="F36" s="5">
        <f>C36/100*0.2</f>
        <v>21806.206003200001</v>
      </c>
      <c r="G36" s="5">
        <f t="shared" ref="G36:H36" si="5">D36/100*0.2</f>
        <v>21806.206003200001</v>
      </c>
      <c r="H36" s="5">
        <f t="shared" si="5"/>
        <v>21806.206003200001</v>
      </c>
    </row>
    <row r="37" spans="1:8" ht="38.25" x14ac:dyDescent="0.2">
      <c r="A37" s="4" t="s">
        <v>214</v>
      </c>
      <c r="B37" s="178" t="s">
        <v>524</v>
      </c>
      <c r="C37" s="5"/>
      <c r="D37" s="5"/>
      <c r="E37" s="5"/>
      <c r="F37" s="5"/>
      <c r="G37" s="5"/>
      <c r="H37" s="5"/>
    </row>
    <row r="38" spans="1:8" ht="38.25" x14ac:dyDescent="0.2">
      <c r="A38" s="4" t="s">
        <v>214</v>
      </c>
      <c r="B38" s="6"/>
      <c r="C38" s="5"/>
      <c r="D38" s="5"/>
      <c r="E38" s="5"/>
      <c r="F38" s="5"/>
      <c r="G38" s="5"/>
      <c r="H38" s="5"/>
    </row>
    <row r="39" spans="1:8" x14ac:dyDescent="0.2">
      <c r="A39" s="49" t="s">
        <v>135</v>
      </c>
      <c r="B39" s="48">
        <v>9000</v>
      </c>
      <c r="C39" s="48" t="s">
        <v>12</v>
      </c>
      <c r="D39" s="48" t="s">
        <v>12</v>
      </c>
      <c r="E39" s="48" t="s">
        <v>12</v>
      </c>
      <c r="F39" s="50">
        <f>F28+F33</f>
        <v>3292736.9964832002</v>
      </c>
      <c r="G39" s="50">
        <f t="shared" ref="G39:H39" si="6">G28+G33</f>
        <v>3292736.9964832002</v>
      </c>
      <c r="H39" s="50">
        <f t="shared" si="6"/>
        <v>3292736.9964832002</v>
      </c>
    </row>
    <row r="42" spans="1:8" ht="15.75" x14ac:dyDescent="0.25">
      <c r="A42" s="46" t="s">
        <v>328</v>
      </c>
      <c r="B42" s="46" t="s">
        <v>375</v>
      </c>
      <c r="C42" s="46" t="s">
        <v>380</v>
      </c>
      <c r="D42" s="47">
        <v>621</v>
      </c>
      <c r="E42" s="51"/>
      <c r="F42" s="51"/>
      <c r="G42" s="51"/>
      <c r="H42" s="51"/>
    </row>
    <row r="43" spans="1:8" ht="12.75" customHeight="1" x14ac:dyDescent="0.2">
      <c r="A43" s="241" t="s">
        <v>204</v>
      </c>
      <c r="B43" s="241" t="s">
        <v>1</v>
      </c>
      <c r="C43" s="247" t="s">
        <v>205</v>
      </c>
      <c r="D43" s="247"/>
      <c r="E43" s="247"/>
      <c r="F43" s="247" t="s">
        <v>206</v>
      </c>
      <c r="G43" s="247"/>
      <c r="H43" s="247"/>
    </row>
    <row r="44" spans="1:8" x14ac:dyDescent="0.2">
      <c r="A44" s="241"/>
      <c r="B44" s="241"/>
      <c r="C44" s="204" t="s">
        <v>418</v>
      </c>
      <c r="D44" s="204" t="s">
        <v>451</v>
      </c>
      <c r="E44" s="204" t="s">
        <v>590</v>
      </c>
      <c r="F44" s="204" t="s">
        <v>418</v>
      </c>
      <c r="G44" s="204" t="s">
        <v>451</v>
      </c>
      <c r="H44" s="204" t="s">
        <v>590</v>
      </c>
    </row>
    <row r="45" spans="1:8" ht="38.25" x14ac:dyDescent="0.2">
      <c r="A45" s="241"/>
      <c r="B45" s="241"/>
      <c r="C45" s="48" t="s">
        <v>75</v>
      </c>
      <c r="D45" s="48" t="s">
        <v>76</v>
      </c>
      <c r="E45" s="48" t="s">
        <v>77</v>
      </c>
      <c r="F45" s="48" t="s">
        <v>75</v>
      </c>
      <c r="G45" s="48" t="s">
        <v>76</v>
      </c>
      <c r="H45" s="48" t="s">
        <v>77</v>
      </c>
    </row>
    <row r="46" spans="1:8" x14ac:dyDescent="0.2">
      <c r="A46" s="2">
        <v>1</v>
      </c>
      <c r="B46" s="2">
        <v>2</v>
      </c>
      <c r="C46" s="2">
        <v>3</v>
      </c>
      <c r="D46" s="2">
        <v>4</v>
      </c>
      <c r="E46" s="2">
        <v>5</v>
      </c>
      <c r="F46" s="2">
        <v>6</v>
      </c>
      <c r="G46" s="2">
        <v>7</v>
      </c>
      <c r="H46" s="2">
        <v>8</v>
      </c>
    </row>
    <row r="47" spans="1:8" ht="25.5" x14ac:dyDescent="0.2">
      <c r="A47" s="6" t="s">
        <v>207</v>
      </c>
      <c r="B47" s="178" t="s">
        <v>501</v>
      </c>
      <c r="C47" s="5"/>
      <c r="D47" s="5"/>
      <c r="E47" s="5"/>
      <c r="F47" s="5">
        <f>F48+F50+F51</f>
        <v>1856860.9005999994</v>
      </c>
      <c r="G47" s="5">
        <f t="shared" ref="G47:H47" si="7">G48+G50+G51</f>
        <v>1856860.9005999994</v>
      </c>
      <c r="H47" s="5">
        <f t="shared" si="7"/>
        <v>1856860.9005999994</v>
      </c>
    </row>
    <row r="48" spans="1:8" x14ac:dyDescent="0.2">
      <c r="A48" s="6" t="s">
        <v>15</v>
      </c>
      <c r="B48" s="242" t="s">
        <v>519</v>
      </c>
      <c r="C48" s="244">
        <f>'3.6.3 Штатка'!P55</f>
        <v>6189550.0019999985</v>
      </c>
      <c r="D48" s="244">
        <f>'3.6.3 Штатка'!P135</f>
        <v>6189550.0019999985</v>
      </c>
      <c r="E48" s="244">
        <f>D48</f>
        <v>6189550.0019999985</v>
      </c>
      <c r="F48" s="244">
        <f>C48/100*30-4.1</f>
        <v>1856860.9005999994</v>
      </c>
      <c r="G48" s="244">
        <f>D48/100*30-4.1</f>
        <v>1856860.9005999994</v>
      </c>
      <c r="H48" s="244">
        <f>G48</f>
        <v>1856860.9005999994</v>
      </c>
    </row>
    <row r="49" spans="1:15" x14ac:dyDescent="0.2">
      <c r="A49" s="6" t="s">
        <v>208</v>
      </c>
      <c r="B49" s="242"/>
      <c r="C49" s="244"/>
      <c r="D49" s="244"/>
      <c r="E49" s="244"/>
      <c r="F49" s="244"/>
      <c r="G49" s="244"/>
      <c r="H49" s="244"/>
    </row>
    <row r="50" spans="1:15" x14ac:dyDescent="0.2">
      <c r="A50" s="6" t="s">
        <v>209</v>
      </c>
      <c r="B50" s="178" t="s">
        <v>520</v>
      </c>
      <c r="C50" s="5"/>
      <c r="D50" s="5"/>
      <c r="E50" s="5"/>
      <c r="F50" s="5"/>
      <c r="G50" s="5"/>
      <c r="H50" s="5"/>
    </row>
    <row r="51" spans="1:15" ht="38.25" x14ac:dyDescent="0.2">
      <c r="A51" s="6" t="s">
        <v>210</v>
      </c>
      <c r="B51" s="178" t="s">
        <v>502</v>
      </c>
      <c r="C51" s="5"/>
      <c r="D51" s="5"/>
      <c r="E51" s="5"/>
      <c r="F51" s="5"/>
      <c r="G51" s="5"/>
      <c r="H51" s="5"/>
    </row>
    <row r="52" spans="1:15" ht="25.5" x14ac:dyDescent="0.2">
      <c r="A52" s="6" t="s">
        <v>211</v>
      </c>
      <c r="B52" s="242" t="s">
        <v>521</v>
      </c>
      <c r="C52" s="5"/>
      <c r="D52" s="5"/>
      <c r="E52" s="5"/>
      <c r="F52" s="5">
        <f>F53+F55</f>
        <v>12379.100003999998</v>
      </c>
      <c r="G52" s="5">
        <f>G53+G55</f>
        <v>12379.100003999998</v>
      </c>
      <c r="H52" s="5">
        <f>H53+H55</f>
        <v>12379.100003999998</v>
      </c>
    </row>
    <row r="53" spans="1:15" x14ac:dyDescent="0.2">
      <c r="A53" s="6" t="s">
        <v>15</v>
      </c>
      <c r="B53" s="242"/>
      <c r="C53" s="131"/>
      <c r="D53" s="131"/>
      <c r="E53" s="131"/>
      <c r="F53" s="131"/>
      <c r="G53" s="131"/>
      <c r="H53" s="131"/>
    </row>
    <row r="54" spans="1:15" ht="25.5" x14ac:dyDescent="0.2">
      <c r="A54" s="6" t="s">
        <v>212</v>
      </c>
      <c r="B54" s="178" t="s">
        <v>522</v>
      </c>
      <c r="C54" s="5"/>
      <c r="D54" s="5"/>
      <c r="E54" s="5"/>
      <c r="F54" s="5"/>
      <c r="G54" s="5"/>
      <c r="H54" s="5"/>
    </row>
    <row r="55" spans="1:15" ht="38.25" x14ac:dyDescent="0.2">
      <c r="A55" s="6" t="s">
        <v>213</v>
      </c>
      <c r="B55" s="178" t="s">
        <v>523</v>
      </c>
      <c r="C55" s="5">
        <f>C48</f>
        <v>6189550.0019999985</v>
      </c>
      <c r="D55" s="5">
        <f>D48</f>
        <v>6189550.0019999985</v>
      </c>
      <c r="E55" s="5">
        <f>E48</f>
        <v>6189550.0019999985</v>
      </c>
      <c r="F55" s="5">
        <f>C55/100*0.2</f>
        <v>12379.100003999998</v>
      </c>
      <c r="G55" s="5">
        <f t="shared" ref="G55:H55" si="8">D55/100*0.2</f>
        <v>12379.100003999998</v>
      </c>
      <c r="H55" s="5">
        <f t="shared" si="8"/>
        <v>12379.100003999998</v>
      </c>
    </row>
    <row r="56" spans="1:15" ht="38.25" x14ac:dyDescent="0.2">
      <c r="A56" s="4" t="s">
        <v>214</v>
      </c>
      <c r="B56" s="178" t="s">
        <v>524</v>
      </c>
      <c r="C56" s="5"/>
      <c r="D56" s="5"/>
      <c r="E56" s="5"/>
      <c r="F56" s="5"/>
      <c r="G56" s="5"/>
      <c r="H56" s="5"/>
    </row>
    <row r="57" spans="1:15" ht="38.25" x14ac:dyDescent="0.2">
      <c r="A57" s="4" t="s">
        <v>214</v>
      </c>
      <c r="B57" s="6"/>
      <c r="C57" s="5"/>
      <c r="D57" s="5"/>
      <c r="E57" s="5"/>
      <c r="F57" s="5"/>
      <c r="G57" s="5"/>
      <c r="H57" s="5"/>
    </row>
    <row r="58" spans="1:15" x14ac:dyDescent="0.2">
      <c r="A58" s="49" t="s">
        <v>135</v>
      </c>
      <c r="B58" s="48">
        <v>9000</v>
      </c>
      <c r="C58" s="48" t="s">
        <v>12</v>
      </c>
      <c r="D58" s="48" t="s">
        <v>12</v>
      </c>
      <c r="E58" s="48" t="s">
        <v>12</v>
      </c>
      <c r="F58" s="50">
        <f>F47+F52</f>
        <v>1869240.0006039992</v>
      </c>
      <c r="G58" s="50">
        <f t="shared" ref="G58:H58" si="9">G47+G52</f>
        <v>1869240.0006039992</v>
      </c>
      <c r="H58" s="50">
        <f t="shared" si="9"/>
        <v>1869240.0006039992</v>
      </c>
    </row>
    <row r="59" spans="1:15" x14ac:dyDescent="0.2">
      <c r="O59" s="82">
        <f>F58+F39+F20</f>
        <v>5737934.0019999994</v>
      </c>
    </row>
    <row r="61" spans="1:15" ht="15.75" x14ac:dyDescent="0.25">
      <c r="A61" s="46" t="s">
        <v>385</v>
      </c>
      <c r="B61" s="46" t="s">
        <v>375</v>
      </c>
      <c r="C61" s="46" t="s">
        <v>384</v>
      </c>
      <c r="D61" s="51"/>
      <c r="E61" s="51"/>
      <c r="F61" s="51"/>
      <c r="G61" s="51"/>
      <c r="H61" s="51"/>
    </row>
    <row r="62" spans="1:15" ht="12.75" customHeight="1" x14ac:dyDescent="0.2">
      <c r="A62" s="241" t="s">
        <v>204</v>
      </c>
      <c r="B62" s="241" t="s">
        <v>1</v>
      </c>
      <c r="C62" s="247" t="s">
        <v>205</v>
      </c>
      <c r="D62" s="247"/>
      <c r="E62" s="247"/>
      <c r="F62" s="247" t="s">
        <v>206</v>
      </c>
      <c r="G62" s="247"/>
      <c r="H62" s="247"/>
    </row>
    <row r="63" spans="1:15" x14ac:dyDescent="0.2">
      <c r="A63" s="241"/>
      <c r="B63" s="241"/>
      <c r="C63" s="204" t="s">
        <v>418</v>
      </c>
      <c r="D63" s="204" t="s">
        <v>451</v>
      </c>
      <c r="E63" s="204" t="s">
        <v>590</v>
      </c>
      <c r="F63" s="204" t="s">
        <v>418</v>
      </c>
      <c r="G63" s="204" t="s">
        <v>451</v>
      </c>
      <c r="H63" s="204" t="s">
        <v>590</v>
      </c>
    </row>
    <row r="64" spans="1:15" ht="38.25" x14ac:dyDescent="0.2">
      <c r="A64" s="241"/>
      <c r="B64" s="241"/>
      <c r="C64" s="48" t="s">
        <v>75</v>
      </c>
      <c r="D64" s="48" t="s">
        <v>76</v>
      </c>
      <c r="E64" s="48" t="s">
        <v>77</v>
      </c>
      <c r="F64" s="48" t="s">
        <v>75</v>
      </c>
      <c r="G64" s="48" t="s">
        <v>76</v>
      </c>
      <c r="H64" s="48" t="s">
        <v>77</v>
      </c>
    </row>
    <row r="65" spans="1:8" x14ac:dyDescent="0.2">
      <c r="A65" s="2">
        <v>1</v>
      </c>
      <c r="B65" s="2">
        <v>2</v>
      </c>
      <c r="C65" s="2">
        <v>3</v>
      </c>
      <c r="D65" s="2">
        <v>4</v>
      </c>
      <c r="E65" s="2">
        <v>5</v>
      </c>
      <c r="F65" s="2">
        <v>6</v>
      </c>
      <c r="G65" s="2">
        <v>7</v>
      </c>
      <c r="H65" s="2">
        <v>8</v>
      </c>
    </row>
    <row r="66" spans="1:8" ht="25.5" x14ac:dyDescent="0.2">
      <c r="A66" s="6" t="s">
        <v>207</v>
      </c>
      <c r="B66" s="178" t="s">
        <v>501</v>
      </c>
      <c r="C66" s="5"/>
      <c r="D66" s="5"/>
      <c r="E66" s="5"/>
      <c r="F66" s="5">
        <f>F67+F69+F70</f>
        <v>0</v>
      </c>
      <c r="G66" s="5">
        <f t="shared" ref="G66:H66" si="10">G67+G69+G70</f>
        <v>0</v>
      </c>
      <c r="H66" s="5">
        <f t="shared" si="10"/>
        <v>0</v>
      </c>
    </row>
    <row r="67" spans="1:8" x14ac:dyDescent="0.2">
      <c r="A67" s="6" t="s">
        <v>15</v>
      </c>
      <c r="B67" s="242" t="s">
        <v>519</v>
      </c>
      <c r="C67" s="244">
        <f>'3.6.3 Штатка'!E78</f>
        <v>0</v>
      </c>
      <c r="D67" s="244">
        <f>'3.6.3 Штатка'!E146</f>
        <v>0</v>
      </c>
      <c r="E67" s="244">
        <f>D67</f>
        <v>0</v>
      </c>
      <c r="F67" s="244">
        <f>C67/100*30</f>
        <v>0</v>
      </c>
      <c r="G67" s="244">
        <f>D67/100*30</f>
        <v>0</v>
      </c>
      <c r="H67" s="244">
        <f>G67</f>
        <v>0</v>
      </c>
    </row>
    <row r="68" spans="1:8" x14ac:dyDescent="0.2">
      <c r="A68" s="6" t="s">
        <v>208</v>
      </c>
      <c r="B68" s="242"/>
      <c r="C68" s="244"/>
      <c r="D68" s="244"/>
      <c r="E68" s="244"/>
      <c r="F68" s="244"/>
      <c r="G68" s="244"/>
      <c r="H68" s="244"/>
    </row>
    <row r="69" spans="1:8" x14ac:dyDescent="0.2">
      <c r="A69" s="6" t="s">
        <v>209</v>
      </c>
      <c r="B69" s="178" t="s">
        <v>520</v>
      </c>
      <c r="C69" s="5"/>
      <c r="D69" s="5"/>
      <c r="E69" s="5"/>
      <c r="F69" s="5"/>
      <c r="G69" s="5"/>
      <c r="H69" s="5"/>
    </row>
    <row r="70" spans="1:8" ht="38.25" x14ac:dyDescent="0.2">
      <c r="A70" s="6" t="s">
        <v>210</v>
      </c>
      <c r="B70" s="178" t="s">
        <v>502</v>
      </c>
      <c r="C70" s="5"/>
      <c r="D70" s="5"/>
      <c r="E70" s="5"/>
      <c r="F70" s="5"/>
      <c r="G70" s="5"/>
      <c r="H70" s="5"/>
    </row>
    <row r="71" spans="1:8" ht="25.5" x14ac:dyDescent="0.2">
      <c r="A71" s="6" t="s">
        <v>211</v>
      </c>
      <c r="B71" s="242" t="s">
        <v>521</v>
      </c>
      <c r="C71" s="5"/>
      <c r="D71" s="5"/>
      <c r="E71" s="5"/>
      <c r="F71" s="5">
        <f>F72+F74</f>
        <v>0</v>
      </c>
      <c r="G71" s="5">
        <f>G72+G74</f>
        <v>0</v>
      </c>
      <c r="H71" s="5">
        <f>H72+H74</f>
        <v>0</v>
      </c>
    </row>
    <row r="72" spans="1:8" x14ac:dyDescent="0.2">
      <c r="A72" s="6" t="s">
        <v>15</v>
      </c>
      <c r="B72" s="242"/>
      <c r="C72" s="131"/>
      <c r="D72" s="131"/>
      <c r="E72" s="131"/>
      <c r="F72" s="131"/>
      <c r="G72" s="131"/>
      <c r="H72" s="131"/>
    </row>
    <row r="73" spans="1:8" ht="25.5" x14ac:dyDescent="0.2">
      <c r="A73" s="6" t="s">
        <v>212</v>
      </c>
      <c r="B73" s="178" t="s">
        <v>522</v>
      </c>
      <c r="C73" s="5"/>
      <c r="D73" s="5"/>
      <c r="E73" s="5"/>
      <c r="F73" s="5"/>
      <c r="G73" s="5"/>
      <c r="H73" s="5"/>
    </row>
    <row r="74" spans="1:8" ht="38.25" x14ac:dyDescent="0.2">
      <c r="A74" s="6" t="s">
        <v>213</v>
      </c>
      <c r="B74" s="178" t="s">
        <v>523</v>
      </c>
      <c r="C74" s="5">
        <f>C67</f>
        <v>0</v>
      </c>
      <c r="D74" s="5">
        <f>D67</f>
        <v>0</v>
      </c>
      <c r="E74" s="5">
        <f>E67</f>
        <v>0</v>
      </c>
      <c r="F74" s="5">
        <f>C74/100*0.2</f>
        <v>0</v>
      </c>
      <c r="G74" s="5">
        <f t="shared" ref="G74:H74" si="11">D74/100*0.2</f>
        <v>0</v>
      </c>
      <c r="H74" s="5">
        <f t="shared" si="11"/>
        <v>0</v>
      </c>
    </row>
    <row r="75" spans="1:8" ht="38.25" x14ac:dyDescent="0.2">
      <c r="A75" s="4" t="s">
        <v>214</v>
      </c>
      <c r="B75" s="178" t="s">
        <v>524</v>
      </c>
      <c r="C75" s="5"/>
      <c r="D75" s="5"/>
      <c r="E75" s="5"/>
      <c r="F75" s="5"/>
      <c r="G75" s="5"/>
      <c r="H75" s="5"/>
    </row>
    <row r="76" spans="1:8" ht="38.25" x14ac:dyDescent="0.2">
      <c r="A76" s="4" t="s">
        <v>214</v>
      </c>
      <c r="B76" s="6"/>
      <c r="C76" s="5"/>
      <c r="D76" s="5"/>
      <c r="E76" s="5"/>
      <c r="F76" s="5"/>
      <c r="G76" s="5"/>
      <c r="H76" s="5"/>
    </row>
    <row r="77" spans="1:8" x14ac:dyDescent="0.2">
      <c r="A77" s="49" t="s">
        <v>135</v>
      </c>
      <c r="B77" s="48">
        <v>9000</v>
      </c>
      <c r="C77" s="48" t="s">
        <v>12</v>
      </c>
      <c r="D77" s="48" t="s">
        <v>12</v>
      </c>
      <c r="E77" s="48" t="s">
        <v>12</v>
      </c>
      <c r="F77" s="50">
        <f>F66+F71</f>
        <v>0</v>
      </c>
      <c r="G77" s="50">
        <f t="shared" ref="G77:H77" si="12">G66+G71</f>
        <v>0</v>
      </c>
      <c r="H77" s="50">
        <f t="shared" si="12"/>
        <v>0</v>
      </c>
    </row>
    <row r="80" spans="1:8" ht="15.75" x14ac:dyDescent="0.25">
      <c r="A80" s="46" t="s">
        <v>480</v>
      </c>
      <c r="B80" s="46" t="s">
        <v>477</v>
      </c>
      <c r="C80" s="46" t="s">
        <v>478</v>
      </c>
      <c r="D80" s="129">
        <v>624</v>
      </c>
      <c r="E80" s="51"/>
      <c r="F80" s="51"/>
      <c r="G80" s="51"/>
      <c r="H80" s="51"/>
    </row>
    <row r="81" spans="1:8" x14ac:dyDescent="0.2">
      <c r="A81" s="241" t="s">
        <v>204</v>
      </c>
      <c r="B81" s="241" t="s">
        <v>1</v>
      </c>
      <c r="C81" s="247" t="s">
        <v>205</v>
      </c>
      <c r="D81" s="247"/>
      <c r="E81" s="247"/>
      <c r="F81" s="247" t="s">
        <v>206</v>
      </c>
      <c r="G81" s="247"/>
      <c r="H81" s="247"/>
    </row>
    <row r="82" spans="1:8" x14ac:dyDescent="0.2">
      <c r="A82" s="241"/>
      <c r="B82" s="241"/>
      <c r="C82" s="204" t="s">
        <v>418</v>
      </c>
      <c r="D82" s="204" t="s">
        <v>451</v>
      </c>
      <c r="E82" s="204" t="s">
        <v>590</v>
      </c>
      <c r="F82" s="204" t="s">
        <v>418</v>
      </c>
      <c r="G82" s="204" t="s">
        <v>451</v>
      </c>
      <c r="H82" s="204" t="s">
        <v>590</v>
      </c>
    </row>
    <row r="83" spans="1:8" ht="38.25" x14ac:dyDescent="0.2">
      <c r="A83" s="241"/>
      <c r="B83" s="241"/>
      <c r="C83" s="132" t="s">
        <v>75</v>
      </c>
      <c r="D83" s="132" t="s">
        <v>76</v>
      </c>
      <c r="E83" s="132" t="s">
        <v>77</v>
      </c>
      <c r="F83" s="132" t="s">
        <v>75</v>
      </c>
      <c r="G83" s="132" t="s">
        <v>76</v>
      </c>
      <c r="H83" s="132" t="s">
        <v>77</v>
      </c>
    </row>
    <row r="84" spans="1:8" x14ac:dyDescent="0.2">
      <c r="A84" s="130">
        <v>1</v>
      </c>
      <c r="B84" s="130">
        <v>2</v>
      </c>
      <c r="C84" s="130">
        <v>3</v>
      </c>
      <c r="D84" s="130">
        <v>4</v>
      </c>
      <c r="E84" s="130">
        <v>5</v>
      </c>
      <c r="F84" s="130">
        <v>6</v>
      </c>
      <c r="G84" s="130">
        <v>7</v>
      </c>
      <c r="H84" s="130">
        <v>8</v>
      </c>
    </row>
    <row r="85" spans="1:8" ht="25.5" x14ac:dyDescent="0.2">
      <c r="A85" s="133" t="s">
        <v>207</v>
      </c>
      <c r="B85" s="178" t="s">
        <v>501</v>
      </c>
      <c r="C85" s="131"/>
      <c r="D85" s="131"/>
      <c r="E85" s="131"/>
      <c r="F85" s="131">
        <f>F86+F88+F89</f>
        <v>42395.4</v>
      </c>
      <c r="G85" s="131">
        <f t="shared" ref="G85:H85" si="13">G86+G88+G89</f>
        <v>0</v>
      </c>
      <c r="H85" s="131">
        <f t="shared" si="13"/>
        <v>0</v>
      </c>
    </row>
    <row r="86" spans="1:8" x14ac:dyDescent="0.2">
      <c r="A86" s="133" t="s">
        <v>15</v>
      </c>
      <c r="B86" s="242" t="s">
        <v>519</v>
      </c>
      <c r="C86" s="244">
        <f>'3.6.3 Штатка'!P66</f>
        <v>141300</v>
      </c>
      <c r="D86" s="244">
        <f>'3.6.3 Штатка'!P173</f>
        <v>0</v>
      </c>
      <c r="E86" s="244">
        <f>D86</f>
        <v>0</v>
      </c>
      <c r="F86" s="244">
        <f>C86/100*30+0.19+5.21</f>
        <v>42395.4</v>
      </c>
      <c r="G86" s="244">
        <f>D86/100*30</f>
        <v>0</v>
      </c>
      <c r="H86" s="244">
        <f>G86</f>
        <v>0</v>
      </c>
    </row>
    <row r="87" spans="1:8" x14ac:dyDescent="0.2">
      <c r="A87" s="133" t="s">
        <v>208</v>
      </c>
      <c r="B87" s="242"/>
      <c r="C87" s="244"/>
      <c r="D87" s="244"/>
      <c r="E87" s="244"/>
      <c r="F87" s="244"/>
      <c r="G87" s="244"/>
      <c r="H87" s="244"/>
    </row>
    <row r="88" spans="1:8" x14ac:dyDescent="0.2">
      <c r="A88" s="133" t="s">
        <v>209</v>
      </c>
      <c r="B88" s="178" t="s">
        <v>520</v>
      </c>
      <c r="C88" s="131"/>
      <c r="D88" s="131"/>
      <c r="E88" s="131"/>
      <c r="F88" s="131"/>
      <c r="G88" s="131"/>
      <c r="H88" s="131"/>
    </row>
    <row r="89" spans="1:8" ht="38.25" x14ac:dyDescent="0.2">
      <c r="A89" s="133" t="s">
        <v>210</v>
      </c>
      <c r="B89" s="178" t="s">
        <v>502</v>
      </c>
      <c r="C89" s="131"/>
      <c r="D89" s="131"/>
      <c r="E89" s="131"/>
      <c r="F89" s="131"/>
      <c r="G89" s="131"/>
      <c r="H89" s="131"/>
    </row>
    <row r="90" spans="1:8" ht="25.5" x14ac:dyDescent="0.2">
      <c r="A90" s="133" t="s">
        <v>211</v>
      </c>
      <c r="B90" s="242" t="s">
        <v>521</v>
      </c>
      <c r="C90" s="131"/>
      <c r="D90" s="131"/>
      <c r="E90" s="131"/>
      <c r="F90" s="131">
        <f>F91+F93</f>
        <v>282.60000000000002</v>
      </c>
      <c r="G90" s="131">
        <f>G91+G93</f>
        <v>0</v>
      </c>
      <c r="H90" s="131">
        <f>H91+H93</f>
        <v>0</v>
      </c>
    </row>
    <row r="91" spans="1:8" x14ac:dyDescent="0.2">
      <c r="A91" s="133" t="s">
        <v>15</v>
      </c>
      <c r="B91" s="242"/>
      <c r="C91" s="131"/>
      <c r="D91" s="131"/>
      <c r="E91" s="131"/>
      <c r="F91" s="131"/>
      <c r="G91" s="131"/>
      <c r="H91" s="131"/>
    </row>
    <row r="92" spans="1:8" ht="25.5" x14ac:dyDescent="0.2">
      <c r="A92" s="133" t="s">
        <v>212</v>
      </c>
      <c r="B92" s="178" t="s">
        <v>522</v>
      </c>
      <c r="C92" s="131"/>
      <c r="D92" s="131"/>
      <c r="E92" s="131"/>
      <c r="F92" s="131"/>
      <c r="G92" s="131"/>
      <c r="H92" s="131"/>
    </row>
    <row r="93" spans="1:8" ht="38.25" x14ac:dyDescent="0.2">
      <c r="A93" s="133" t="s">
        <v>213</v>
      </c>
      <c r="B93" s="178" t="s">
        <v>523</v>
      </c>
      <c r="C93" s="131">
        <f>C86</f>
        <v>141300</v>
      </c>
      <c r="D93" s="131">
        <f>D86</f>
        <v>0</v>
      </c>
      <c r="E93" s="131">
        <f>E86</f>
        <v>0</v>
      </c>
      <c r="F93" s="131">
        <f>C93/100*0.2</f>
        <v>282.60000000000002</v>
      </c>
      <c r="G93" s="131">
        <f t="shared" ref="G93" si="14">D93/100*0.2</f>
        <v>0</v>
      </c>
      <c r="H93" s="131">
        <f t="shared" ref="H93" si="15">E93/100*0.2</f>
        <v>0</v>
      </c>
    </row>
    <row r="94" spans="1:8" ht="38.25" x14ac:dyDescent="0.2">
      <c r="A94" s="4" t="s">
        <v>214</v>
      </c>
      <c r="B94" s="178" t="s">
        <v>524</v>
      </c>
      <c r="C94" s="131"/>
      <c r="D94" s="131"/>
      <c r="E94" s="131"/>
      <c r="F94" s="131"/>
      <c r="G94" s="131"/>
      <c r="H94" s="131"/>
    </row>
    <row r="95" spans="1:8" ht="38.25" x14ac:dyDescent="0.2">
      <c r="A95" s="4" t="s">
        <v>214</v>
      </c>
      <c r="B95" s="133"/>
      <c r="C95" s="131"/>
      <c r="D95" s="131"/>
      <c r="E95" s="131"/>
      <c r="F95" s="131"/>
      <c r="G95" s="131"/>
      <c r="H95" s="131"/>
    </row>
    <row r="96" spans="1:8" x14ac:dyDescent="0.2">
      <c r="A96" s="49" t="s">
        <v>135</v>
      </c>
      <c r="B96" s="132">
        <v>9000</v>
      </c>
      <c r="C96" s="132" t="s">
        <v>12</v>
      </c>
      <c r="D96" s="132" t="s">
        <v>12</v>
      </c>
      <c r="E96" s="132" t="s">
        <v>12</v>
      </c>
      <c r="F96" s="50">
        <f>F85+F90</f>
        <v>42678</v>
      </c>
      <c r="G96" s="50">
        <f t="shared" ref="G96:H96" si="16">G85+G90</f>
        <v>0</v>
      </c>
      <c r="H96" s="50">
        <f t="shared" si="16"/>
        <v>0</v>
      </c>
    </row>
  </sheetData>
  <mergeCells count="60">
    <mergeCell ref="G67:G68"/>
    <mergeCell ref="H67:H68"/>
    <mergeCell ref="B71:B72"/>
    <mergeCell ref="B67:B68"/>
    <mergeCell ref="C67:C68"/>
    <mergeCell ref="D67:D68"/>
    <mergeCell ref="E67:E68"/>
    <mergeCell ref="F67:F68"/>
    <mergeCell ref="G48:G49"/>
    <mergeCell ref="H48:H49"/>
    <mergeCell ref="B52:B53"/>
    <mergeCell ref="A62:A64"/>
    <mergeCell ref="B62:B64"/>
    <mergeCell ref="C62:E62"/>
    <mergeCell ref="F62:H62"/>
    <mergeCell ref="B48:B49"/>
    <mergeCell ref="C48:C49"/>
    <mergeCell ref="D48:D49"/>
    <mergeCell ref="E48:E49"/>
    <mergeCell ref="F48:F49"/>
    <mergeCell ref="B33:B34"/>
    <mergeCell ref="A43:A45"/>
    <mergeCell ref="B43:B45"/>
    <mergeCell ref="C43:E43"/>
    <mergeCell ref="F43:H43"/>
    <mergeCell ref="A24:A26"/>
    <mergeCell ref="B24:B26"/>
    <mergeCell ref="C24:E24"/>
    <mergeCell ref="F24:H24"/>
    <mergeCell ref="B29:B30"/>
    <mergeCell ref="C29:C30"/>
    <mergeCell ref="D29:D30"/>
    <mergeCell ref="E29:E30"/>
    <mergeCell ref="F29:F30"/>
    <mergeCell ref="G29:G30"/>
    <mergeCell ref="H29:H30"/>
    <mergeCell ref="B14:B15"/>
    <mergeCell ref="A5:A7"/>
    <mergeCell ref="B5:B7"/>
    <mergeCell ref="C5:E5"/>
    <mergeCell ref="F5:H5"/>
    <mergeCell ref="B10:B11"/>
    <mergeCell ref="C10:C11"/>
    <mergeCell ref="D10:D11"/>
    <mergeCell ref="E10:E11"/>
    <mergeCell ref="F10:F11"/>
    <mergeCell ref="G10:G11"/>
    <mergeCell ref="H10:H11"/>
    <mergeCell ref="B90:B91"/>
    <mergeCell ref="A81:A83"/>
    <mergeCell ref="B81:B83"/>
    <mergeCell ref="C81:E81"/>
    <mergeCell ref="F81:H81"/>
    <mergeCell ref="B86:B87"/>
    <mergeCell ref="C86:C87"/>
    <mergeCell ref="D86:D87"/>
    <mergeCell ref="E86:E87"/>
    <mergeCell ref="F86:F87"/>
    <mergeCell ref="G86:G87"/>
    <mergeCell ref="H86:H87"/>
  </mergeCells>
  <hyperlinks>
    <hyperlink ref="A18" location="Par1417" display="Par1417"/>
    <hyperlink ref="A19" location="Par1417" display="Par1417"/>
    <hyperlink ref="A37" location="Par1417" display="Par1417"/>
    <hyperlink ref="A38" location="Par1417" display="Par1417"/>
    <hyperlink ref="A56" location="Par1417" display="Par1417"/>
    <hyperlink ref="A57" location="Par1417" display="Par1417"/>
    <hyperlink ref="A75" location="Par1417" display="Par1417"/>
    <hyperlink ref="A76" location="Par1417" display="Par1417"/>
    <hyperlink ref="A94" location="Par1417" display="Par1417"/>
    <hyperlink ref="A95" location="Par1417" display="Par1417"/>
  </hyperlink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66"/>
  <sheetViews>
    <sheetView tabSelected="1" topLeftCell="A36" workbookViewId="0">
      <selection sqref="A1:I61"/>
    </sheetView>
  </sheetViews>
  <sheetFormatPr defaultRowHeight="15" x14ac:dyDescent="0.25"/>
  <cols>
    <col min="1" max="1" width="11.28515625" style="1" bestFit="1" customWidth="1"/>
    <col min="2" max="2" width="61.42578125" style="1" customWidth="1"/>
    <col min="3" max="3" width="9.28515625" style="1" bestFit="1" customWidth="1"/>
    <col min="4" max="4" width="13" style="1" customWidth="1"/>
    <col min="5" max="5" width="16.7109375" style="168" customWidth="1"/>
    <col min="6" max="6" width="16.28515625" style="1" customWidth="1"/>
    <col min="7" max="7" width="15.7109375" style="1" customWidth="1"/>
    <col min="8" max="8" width="15.5703125" style="1" customWidth="1"/>
    <col min="9" max="10" width="13" style="1" customWidth="1"/>
    <col min="11" max="13" width="9.140625" style="1"/>
    <col min="14" max="14" width="11.5703125" style="1" bestFit="1" customWidth="1"/>
    <col min="15" max="16384" width="9.140625" style="1"/>
  </cols>
  <sheetData>
    <row r="1" spans="1:9" ht="15.75" x14ac:dyDescent="0.25">
      <c r="A1" s="231" t="s">
        <v>103</v>
      </c>
      <c r="B1" s="231"/>
      <c r="C1" s="231"/>
    </row>
    <row r="2" spans="1:9" ht="15.75" x14ac:dyDescent="0.25">
      <c r="A2" s="47"/>
      <c r="B2" s="47"/>
      <c r="C2" s="47"/>
    </row>
    <row r="3" spans="1:9" x14ac:dyDescent="0.25">
      <c r="A3" s="44"/>
      <c r="B3" s="44"/>
      <c r="C3" s="44"/>
    </row>
    <row r="4" spans="1:9" ht="15.75" customHeight="1" x14ac:dyDescent="0.25">
      <c r="A4" s="232" t="s">
        <v>71</v>
      </c>
      <c r="B4" s="232" t="s">
        <v>0</v>
      </c>
      <c r="C4" s="233" t="s">
        <v>72</v>
      </c>
      <c r="D4" s="233" t="s">
        <v>73</v>
      </c>
      <c r="E4" s="237" t="s">
        <v>489</v>
      </c>
      <c r="F4" s="233" t="s">
        <v>74</v>
      </c>
      <c r="G4" s="233"/>
      <c r="H4" s="233"/>
      <c r="I4" s="233"/>
    </row>
    <row r="5" spans="1:9" x14ac:dyDescent="0.25">
      <c r="A5" s="232"/>
      <c r="B5" s="232"/>
      <c r="C5" s="233"/>
      <c r="D5" s="233"/>
      <c r="E5" s="239"/>
      <c r="F5" s="48" t="s">
        <v>418</v>
      </c>
      <c r="G5" s="48" t="s">
        <v>451</v>
      </c>
      <c r="H5" s="48" t="s">
        <v>590</v>
      </c>
      <c r="I5" s="233" t="s">
        <v>5</v>
      </c>
    </row>
    <row r="6" spans="1:9" ht="47.25" x14ac:dyDescent="0.25">
      <c r="A6" s="232"/>
      <c r="B6" s="232"/>
      <c r="C6" s="233"/>
      <c r="D6" s="233"/>
      <c r="E6" s="209"/>
      <c r="F6" s="66" t="s">
        <v>75</v>
      </c>
      <c r="G6" s="66" t="s">
        <v>76</v>
      </c>
      <c r="H6" s="66" t="s">
        <v>77</v>
      </c>
      <c r="I6" s="233"/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34" t="s">
        <v>490</v>
      </c>
      <c r="F7" s="14">
        <v>5</v>
      </c>
      <c r="G7" s="14">
        <v>6</v>
      </c>
      <c r="H7" s="14">
        <v>7</v>
      </c>
      <c r="I7" s="14">
        <v>8</v>
      </c>
    </row>
    <row r="8" spans="1:9" ht="15.75" x14ac:dyDescent="0.25">
      <c r="A8" s="15">
        <v>1</v>
      </c>
      <c r="B8" s="18" t="s">
        <v>78</v>
      </c>
      <c r="C8" s="13">
        <v>26000</v>
      </c>
      <c r="D8" s="13" t="s">
        <v>12</v>
      </c>
      <c r="E8" s="169" t="s">
        <v>12</v>
      </c>
      <c r="F8" s="81">
        <f>F12+F19</f>
        <v>7383090.6799999997</v>
      </c>
      <c r="G8" s="81">
        <f t="shared" ref="G8:H8" si="0">G12+G19</f>
        <v>7383090</v>
      </c>
      <c r="H8" s="81">
        <f t="shared" si="0"/>
        <v>7383090</v>
      </c>
      <c r="I8" s="16"/>
    </row>
    <row r="9" spans="1:9" ht="15.75" x14ac:dyDescent="0.25">
      <c r="A9" s="235" t="s">
        <v>104</v>
      </c>
      <c r="B9" s="17" t="s">
        <v>15</v>
      </c>
      <c r="C9" s="232">
        <v>26100</v>
      </c>
      <c r="D9" s="232" t="s">
        <v>12</v>
      </c>
      <c r="E9" s="238" t="s">
        <v>12</v>
      </c>
      <c r="F9" s="234">
        <v>0</v>
      </c>
      <c r="G9" s="234">
        <f>F9</f>
        <v>0</v>
      </c>
      <c r="H9" s="234">
        <f>G9</f>
        <v>0</v>
      </c>
      <c r="I9" s="234"/>
    </row>
    <row r="10" spans="1:9" ht="141.75" x14ac:dyDescent="0.25">
      <c r="A10" s="235"/>
      <c r="B10" s="17" t="s">
        <v>79</v>
      </c>
      <c r="C10" s="232"/>
      <c r="D10" s="232"/>
      <c r="E10" s="238"/>
      <c r="F10" s="234"/>
      <c r="G10" s="234"/>
      <c r="H10" s="234"/>
      <c r="I10" s="234"/>
    </row>
    <row r="11" spans="1:9" ht="63" x14ac:dyDescent="0.25">
      <c r="A11" s="15" t="s">
        <v>105</v>
      </c>
      <c r="B11" s="17" t="s">
        <v>80</v>
      </c>
      <c r="C11" s="13">
        <v>26200</v>
      </c>
      <c r="D11" s="13" t="s">
        <v>12</v>
      </c>
      <c r="E11" s="169" t="s">
        <v>12</v>
      </c>
      <c r="F11" s="16">
        <v>0</v>
      </c>
      <c r="G11" s="16">
        <f>F11</f>
        <v>0</v>
      </c>
      <c r="H11" s="16">
        <f>G11</f>
        <v>0</v>
      </c>
      <c r="I11" s="16"/>
    </row>
    <row r="12" spans="1:9" ht="31.5" x14ac:dyDescent="0.25">
      <c r="A12" s="15" t="s">
        <v>106</v>
      </c>
      <c r="B12" s="17" t="s">
        <v>81</v>
      </c>
      <c r="C12" s="13">
        <v>26300</v>
      </c>
      <c r="D12" s="13" t="s">
        <v>12</v>
      </c>
      <c r="E12" s="169" t="s">
        <v>12</v>
      </c>
      <c r="F12" s="81">
        <f>F13+F17</f>
        <v>2072289.24</v>
      </c>
      <c r="G12" s="81">
        <v>0</v>
      </c>
      <c r="H12" s="81">
        <v>0</v>
      </c>
      <c r="I12" s="16"/>
    </row>
    <row r="13" spans="1:9" ht="15.75" x14ac:dyDescent="0.25">
      <c r="A13" s="235" t="s">
        <v>107</v>
      </c>
      <c r="B13" s="17" t="s">
        <v>15</v>
      </c>
      <c r="C13" s="232">
        <v>26301</v>
      </c>
      <c r="D13" s="232" t="s">
        <v>12</v>
      </c>
      <c r="E13" s="237" t="s">
        <v>12</v>
      </c>
      <c r="F13" s="234">
        <v>0</v>
      </c>
      <c r="G13" s="234">
        <v>0</v>
      </c>
      <c r="H13" s="234">
        <v>0</v>
      </c>
      <c r="I13" s="234"/>
    </row>
    <row r="14" spans="1:9" ht="15" customHeight="1" x14ac:dyDescent="0.25">
      <c r="A14" s="235"/>
      <c r="B14" s="18" t="s">
        <v>82</v>
      </c>
      <c r="C14" s="232"/>
      <c r="D14" s="232"/>
      <c r="E14" s="209"/>
      <c r="F14" s="234"/>
      <c r="G14" s="234"/>
      <c r="H14" s="234"/>
      <c r="I14" s="234"/>
    </row>
    <row r="15" spans="1:9" s="168" customFormat="1" ht="15" customHeight="1" x14ac:dyDescent="0.25">
      <c r="A15" s="173"/>
      <c r="B15" s="174" t="s">
        <v>491</v>
      </c>
      <c r="C15" s="170" t="s">
        <v>492</v>
      </c>
      <c r="D15" s="170" t="s">
        <v>12</v>
      </c>
      <c r="E15" s="170" t="s">
        <v>12</v>
      </c>
      <c r="F15" s="175">
        <v>0</v>
      </c>
      <c r="G15" s="175">
        <v>0</v>
      </c>
      <c r="H15" s="175">
        <v>0</v>
      </c>
      <c r="I15" s="176"/>
    </row>
    <row r="16" spans="1:9" s="168" customFormat="1" ht="15" customHeight="1" x14ac:dyDescent="0.25">
      <c r="A16" s="173"/>
      <c r="B16" s="174" t="s">
        <v>493</v>
      </c>
      <c r="C16" s="170" t="s">
        <v>494</v>
      </c>
      <c r="D16" s="170" t="s">
        <v>12</v>
      </c>
      <c r="E16" s="171" t="s">
        <v>12</v>
      </c>
      <c r="F16" s="175"/>
      <c r="G16" s="177"/>
      <c r="H16" s="175"/>
      <c r="I16" s="176"/>
    </row>
    <row r="17" spans="1:14" ht="15.75" x14ac:dyDescent="0.25">
      <c r="A17" s="235" t="s">
        <v>108</v>
      </c>
      <c r="B17" s="17" t="s">
        <v>15</v>
      </c>
      <c r="C17" s="232">
        <v>26302</v>
      </c>
      <c r="D17" s="232" t="s">
        <v>12</v>
      </c>
      <c r="E17" s="237" t="s">
        <v>12</v>
      </c>
      <c r="F17" s="234">
        <f>2072289.24</f>
        <v>2072289.24</v>
      </c>
      <c r="G17" s="234">
        <v>0</v>
      </c>
      <c r="H17" s="234">
        <v>0</v>
      </c>
      <c r="I17" s="234"/>
    </row>
    <row r="18" spans="1:14" ht="15.75" x14ac:dyDescent="0.25">
      <c r="A18" s="235"/>
      <c r="B18" s="17" t="s">
        <v>83</v>
      </c>
      <c r="C18" s="232"/>
      <c r="D18" s="232"/>
      <c r="E18" s="209"/>
      <c r="F18" s="234"/>
      <c r="G18" s="234"/>
      <c r="H18" s="234"/>
      <c r="I18" s="234"/>
    </row>
    <row r="19" spans="1:14" ht="63" x14ac:dyDescent="0.25">
      <c r="A19" s="15" t="s">
        <v>109</v>
      </c>
      <c r="B19" s="17" t="s">
        <v>84</v>
      </c>
      <c r="C19" s="13">
        <v>26400</v>
      </c>
      <c r="D19" s="13" t="s">
        <v>12</v>
      </c>
      <c r="E19" s="169" t="s">
        <v>12</v>
      </c>
      <c r="F19" s="81">
        <f>F20+F25+F37</f>
        <v>5310801.4399999995</v>
      </c>
      <c r="G19" s="81">
        <f>G20+G25+G37</f>
        <v>7383090</v>
      </c>
      <c r="H19" s="81">
        <f>H20+H25+H37</f>
        <v>7383090</v>
      </c>
      <c r="I19" s="16"/>
    </row>
    <row r="20" spans="1:14" ht="15.75" x14ac:dyDescent="0.25">
      <c r="A20" s="235" t="s">
        <v>110</v>
      </c>
      <c r="B20" s="17" t="s">
        <v>15</v>
      </c>
      <c r="C20" s="232">
        <v>26410</v>
      </c>
      <c r="D20" s="232" t="s">
        <v>12</v>
      </c>
      <c r="E20" s="237" t="s">
        <v>12</v>
      </c>
      <c r="F20" s="236">
        <f>F22+F24</f>
        <v>3097100.76</v>
      </c>
      <c r="G20" s="236">
        <f t="shared" ref="G20:H20" si="1">G22+G24</f>
        <v>5169390</v>
      </c>
      <c r="H20" s="236">
        <f t="shared" si="1"/>
        <v>5169390</v>
      </c>
      <c r="I20" s="234"/>
    </row>
    <row r="21" spans="1:14" ht="47.25" x14ac:dyDescent="0.25">
      <c r="A21" s="235"/>
      <c r="B21" s="17" t="s">
        <v>85</v>
      </c>
      <c r="C21" s="232"/>
      <c r="D21" s="232"/>
      <c r="E21" s="209"/>
      <c r="F21" s="236"/>
      <c r="G21" s="236"/>
      <c r="H21" s="236"/>
      <c r="I21" s="234"/>
    </row>
    <row r="22" spans="1:14" ht="15.75" x14ac:dyDescent="0.25">
      <c r="A22" s="235" t="s">
        <v>86</v>
      </c>
      <c r="B22" s="17" t="s">
        <v>15</v>
      </c>
      <c r="C22" s="232">
        <v>26411</v>
      </c>
      <c r="D22" s="232" t="s">
        <v>12</v>
      </c>
      <c r="E22" s="237" t="s">
        <v>12</v>
      </c>
      <c r="F22" s="236"/>
      <c r="G22" s="234"/>
      <c r="H22" s="234"/>
      <c r="I22" s="234"/>
      <c r="K22" s="1">
        <v>4</v>
      </c>
      <c r="L22" s="1" t="s">
        <v>410</v>
      </c>
    </row>
    <row r="23" spans="1:14" x14ac:dyDescent="0.25">
      <c r="A23" s="235"/>
      <c r="B23" s="18" t="s">
        <v>82</v>
      </c>
      <c r="C23" s="232"/>
      <c r="D23" s="232"/>
      <c r="E23" s="209"/>
      <c r="F23" s="236"/>
      <c r="G23" s="234"/>
      <c r="H23" s="234"/>
      <c r="I23" s="234"/>
    </row>
    <row r="24" spans="1:14" ht="15.75" x14ac:dyDescent="0.25">
      <c r="A24" s="15" t="s">
        <v>87</v>
      </c>
      <c r="B24" s="17" t="s">
        <v>88</v>
      </c>
      <c r="C24" s="13">
        <v>26412</v>
      </c>
      <c r="D24" s="13" t="s">
        <v>12</v>
      </c>
      <c r="E24" s="169" t="s">
        <v>12</v>
      </c>
      <c r="F24" s="30">
        <f>'3.13.1СВОД'!D13+'3.13.1СВОД'!H13+'3.13.1СВОД'!E13-F17+'3.13.1СВОД'!P13+'3.13.1СВОД'!Q13</f>
        <v>3097100.76</v>
      </c>
      <c r="G24" s="30">
        <f>'3.13.1СВОД'!D37+'3.13.1СВОД'!E37+'3.13.1СВОД'!H37</f>
        <v>5169390</v>
      </c>
      <c r="H24" s="30">
        <f>G24</f>
        <v>5169390</v>
      </c>
      <c r="I24" s="16"/>
    </row>
    <row r="25" spans="1:14" ht="45" x14ac:dyDescent="0.25">
      <c r="A25" s="15" t="s">
        <v>111</v>
      </c>
      <c r="B25" s="18" t="s">
        <v>89</v>
      </c>
      <c r="C25" s="13">
        <v>26420</v>
      </c>
      <c r="D25" s="13" t="s">
        <v>12</v>
      </c>
      <c r="E25" s="169" t="s">
        <v>12</v>
      </c>
      <c r="F25" s="30">
        <f>F26+F29</f>
        <v>252200</v>
      </c>
      <c r="G25" s="30">
        <f>G26+G29</f>
        <v>252200</v>
      </c>
      <c r="H25" s="30">
        <f>H26+H29</f>
        <v>252200</v>
      </c>
      <c r="I25" s="16"/>
      <c r="N25" s="102"/>
    </row>
    <row r="26" spans="1:14" ht="15.75" x14ac:dyDescent="0.25">
      <c r="A26" s="235" t="s">
        <v>90</v>
      </c>
      <c r="B26" s="17" t="s">
        <v>15</v>
      </c>
      <c r="C26" s="232">
        <v>26421</v>
      </c>
      <c r="D26" s="232" t="s">
        <v>12</v>
      </c>
      <c r="E26" s="237" t="s">
        <v>12</v>
      </c>
      <c r="F26" s="236"/>
      <c r="G26" s="234"/>
      <c r="H26" s="234"/>
      <c r="I26" s="234"/>
    </row>
    <row r="27" spans="1:14" x14ac:dyDescent="0.25">
      <c r="A27" s="235"/>
      <c r="B27" s="18" t="s">
        <v>82</v>
      </c>
      <c r="C27" s="232"/>
      <c r="D27" s="232"/>
      <c r="E27" s="209"/>
      <c r="F27" s="236"/>
      <c r="G27" s="234"/>
      <c r="H27" s="234"/>
      <c r="I27" s="234"/>
    </row>
    <row r="28" spans="1:14" s="168" customFormat="1" ht="15.75" x14ac:dyDescent="0.25">
      <c r="A28" s="173"/>
      <c r="B28" s="174" t="s">
        <v>495</v>
      </c>
      <c r="C28" s="170" t="s">
        <v>496</v>
      </c>
      <c r="D28" s="170" t="s">
        <v>12</v>
      </c>
      <c r="E28" s="170" t="s">
        <v>12</v>
      </c>
      <c r="F28" s="175">
        <v>0</v>
      </c>
      <c r="G28" s="175">
        <v>0</v>
      </c>
      <c r="H28" s="175">
        <v>0</v>
      </c>
      <c r="I28" s="176"/>
    </row>
    <row r="29" spans="1:14" ht="15.75" x14ac:dyDescent="0.25">
      <c r="A29" s="15" t="s">
        <v>91</v>
      </c>
      <c r="B29" s="17" t="s">
        <v>88</v>
      </c>
      <c r="C29" s="13">
        <v>26422</v>
      </c>
      <c r="D29" s="13" t="s">
        <v>12</v>
      </c>
      <c r="E29" s="169" t="s">
        <v>12</v>
      </c>
      <c r="F29" s="30">
        <f>'3.4.1'!C12</f>
        <v>252200</v>
      </c>
      <c r="G29" s="30">
        <f>'3.4.1'!D12</f>
        <v>252200</v>
      </c>
      <c r="H29" s="30">
        <f>G29</f>
        <v>252200</v>
      </c>
      <c r="I29" s="16"/>
      <c r="K29" s="1">
        <v>5</v>
      </c>
    </row>
    <row r="30" spans="1:14" ht="30" x14ac:dyDescent="0.25">
      <c r="A30" s="15" t="s">
        <v>112</v>
      </c>
      <c r="B30" s="18" t="s">
        <v>92</v>
      </c>
      <c r="C30" s="13">
        <v>26430</v>
      </c>
      <c r="D30" s="13" t="s">
        <v>12</v>
      </c>
      <c r="E30" s="169" t="s">
        <v>12</v>
      </c>
      <c r="F30" s="30"/>
      <c r="G30" s="16"/>
      <c r="H30" s="16"/>
      <c r="I30" s="16"/>
    </row>
    <row r="31" spans="1:14" s="168" customFormat="1" ht="15.75" x14ac:dyDescent="0.25">
      <c r="A31" s="173"/>
      <c r="B31" s="174" t="s">
        <v>491</v>
      </c>
      <c r="C31" s="170" t="s">
        <v>497</v>
      </c>
      <c r="D31" s="170" t="s">
        <v>12</v>
      </c>
      <c r="E31" s="170" t="s">
        <v>12</v>
      </c>
      <c r="F31" s="175">
        <v>0</v>
      </c>
      <c r="G31" s="175">
        <v>0</v>
      </c>
      <c r="H31" s="175">
        <v>0</v>
      </c>
      <c r="I31" s="176"/>
    </row>
    <row r="32" spans="1:14" s="168" customFormat="1" ht="15.75" x14ac:dyDescent="0.25">
      <c r="A32" s="173"/>
      <c r="B32" s="174" t="s">
        <v>493</v>
      </c>
      <c r="C32" s="170" t="s">
        <v>498</v>
      </c>
      <c r="D32" s="170" t="s">
        <v>12</v>
      </c>
      <c r="E32" s="170" t="s">
        <v>12</v>
      </c>
      <c r="F32" s="175"/>
      <c r="G32" s="175"/>
      <c r="H32" s="175"/>
      <c r="I32" s="176"/>
    </row>
    <row r="33" spans="1:11" ht="15.75" x14ac:dyDescent="0.25">
      <c r="A33" s="15" t="s">
        <v>113</v>
      </c>
      <c r="B33" s="17" t="s">
        <v>93</v>
      </c>
      <c r="C33" s="13">
        <v>26440</v>
      </c>
      <c r="D33" s="13" t="s">
        <v>12</v>
      </c>
      <c r="E33" s="169" t="s">
        <v>12</v>
      </c>
      <c r="F33" s="30"/>
      <c r="G33" s="16"/>
      <c r="H33" s="16"/>
      <c r="I33" s="16"/>
    </row>
    <row r="34" spans="1:11" ht="15.75" x14ac:dyDescent="0.25">
      <c r="A34" s="235" t="s">
        <v>94</v>
      </c>
      <c r="B34" s="17" t="s">
        <v>15</v>
      </c>
      <c r="C34" s="232">
        <v>26441</v>
      </c>
      <c r="D34" s="232" t="s">
        <v>12</v>
      </c>
      <c r="E34" s="237" t="s">
        <v>12</v>
      </c>
      <c r="F34" s="236"/>
      <c r="G34" s="234"/>
      <c r="H34" s="234"/>
      <c r="I34" s="234"/>
    </row>
    <row r="35" spans="1:11" x14ac:dyDescent="0.25">
      <c r="A35" s="235"/>
      <c r="B35" s="18" t="s">
        <v>82</v>
      </c>
      <c r="C35" s="232"/>
      <c r="D35" s="232"/>
      <c r="E35" s="209"/>
      <c r="F35" s="236"/>
      <c r="G35" s="234"/>
      <c r="H35" s="234"/>
      <c r="I35" s="234"/>
    </row>
    <row r="36" spans="1:11" ht="15.75" x14ac:dyDescent="0.25">
      <c r="A36" s="15" t="s">
        <v>95</v>
      </c>
      <c r="B36" s="18" t="s">
        <v>96</v>
      </c>
      <c r="C36" s="13">
        <v>26442</v>
      </c>
      <c r="D36" s="13" t="s">
        <v>12</v>
      </c>
      <c r="E36" s="169" t="s">
        <v>12</v>
      </c>
      <c r="F36" s="30"/>
      <c r="G36" s="16"/>
      <c r="H36" s="16"/>
      <c r="I36" s="16"/>
    </row>
    <row r="37" spans="1:11" ht="15.75" x14ac:dyDescent="0.25">
      <c r="A37" s="15" t="s">
        <v>114</v>
      </c>
      <c r="B37" s="17" t="s">
        <v>97</v>
      </c>
      <c r="C37" s="13">
        <v>26450</v>
      </c>
      <c r="D37" s="13" t="s">
        <v>12</v>
      </c>
      <c r="E37" s="169" t="s">
        <v>12</v>
      </c>
      <c r="F37" s="30">
        <f>F38+F42</f>
        <v>1961500.68</v>
      </c>
      <c r="G37" s="30">
        <f>'3.13.1СВОД'!I37+'3.13.1СВОД'!K37</f>
        <v>1961500</v>
      </c>
      <c r="H37" s="30">
        <f>'3.13.1СВОД'!I61+'3.13.1СВОД'!K61</f>
        <v>1961500</v>
      </c>
      <c r="I37" s="16"/>
    </row>
    <row r="38" spans="1:11" ht="15.75" x14ac:dyDescent="0.25">
      <c r="A38" s="235" t="s">
        <v>98</v>
      </c>
      <c r="B38" s="17" t="s">
        <v>15</v>
      </c>
      <c r="C38" s="232">
        <v>26451</v>
      </c>
      <c r="D38" s="232" t="s">
        <v>12</v>
      </c>
      <c r="E38" s="237" t="s">
        <v>12</v>
      </c>
      <c r="F38" s="236"/>
      <c r="G38" s="234"/>
      <c r="H38" s="234"/>
      <c r="I38" s="234"/>
    </row>
    <row r="39" spans="1:11" ht="15" customHeight="1" x14ac:dyDescent="0.25">
      <c r="A39" s="235"/>
      <c r="B39" s="18" t="s">
        <v>82</v>
      </c>
      <c r="C39" s="232"/>
      <c r="D39" s="232"/>
      <c r="E39" s="209"/>
      <c r="F39" s="236"/>
      <c r="G39" s="234"/>
      <c r="H39" s="234"/>
      <c r="I39" s="234"/>
    </row>
    <row r="40" spans="1:11" s="168" customFormat="1" ht="15.75" x14ac:dyDescent="0.25">
      <c r="A40" s="173"/>
      <c r="B40" s="174" t="s">
        <v>491</v>
      </c>
      <c r="C40" s="170" t="s">
        <v>499</v>
      </c>
      <c r="D40" s="170" t="s">
        <v>12</v>
      </c>
      <c r="E40" s="170" t="s">
        <v>12</v>
      </c>
      <c r="F40" s="175">
        <v>0</v>
      </c>
      <c r="G40" s="175">
        <v>0</v>
      </c>
      <c r="H40" s="175">
        <v>0</v>
      </c>
      <c r="I40" s="176"/>
    </row>
    <row r="41" spans="1:11" s="168" customFormat="1" ht="15.75" x14ac:dyDescent="0.25">
      <c r="A41" s="173"/>
      <c r="B41" s="174" t="s">
        <v>493</v>
      </c>
      <c r="C41" s="170" t="s">
        <v>500</v>
      </c>
      <c r="D41" s="170" t="s">
        <v>12</v>
      </c>
      <c r="E41" s="170" t="s">
        <v>12</v>
      </c>
      <c r="F41" s="175"/>
      <c r="G41" s="175"/>
      <c r="H41" s="175"/>
      <c r="I41" s="176"/>
    </row>
    <row r="42" spans="1:11" ht="15.75" x14ac:dyDescent="0.25">
      <c r="A42" s="15" t="s">
        <v>99</v>
      </c>
      <c r="B42" s="18" t="s">
        <v>96</v>
      </c>
      <c r="C42" s="13">
        <v>26452</v>
      </c>
      <c r="D42" s="13" t="s">
        <v>12</v>
      </c>
      <c r="E42" s="169" t="s">
        <v>12</v>
      </c>
      <c r="F42" s="30">
        <f>'3.13.1СВОД'!I13+'3.13.1СВОД'!J13+'3.13.1СВОД'!K13+'3.13.1СВОД'!L13+'3.13.1СВОД'!M13+'3.13.1СВОД'!N13</f>
        <v>1961500.68</v>
      </c>
      <c r="G42" s="30">
        <v>1961500</v>
      </c>
      <c r="H42" s="30">
        <v>1961500</v>
      </c>
      <c r="I42" s="16"/>
      <c r="K42" s="1">
        <v>2</v>
      </c>
    </row>
    <row r="43" spans="1:11" ht="63" x14ac:dyDescent="0.25">
      <c r="A43" s="15">
        <v>2</v>
      </c>
      <c r="B43" s="17" t="s">
        <v>100</v>
      </c>
      <c r="C43" s="13">
        <v>26500</v>
      </c>
      <c r="D43" s="13" t="s">
        <v>12</v>
      </c>
      <c r="E43" s="169" t="s">
        <v>12</v>
      </c>
      <c r="F43" s="30"/>
      <c r="G43" s="16"/>
      <c r="H43" s="16"/>
      <c r="I43" s="16"/>
    </row>
    <row r="44" spans="1:11" ht="15.75" x14ac:dyDescent="0.25">
      <c r="A44" s="15"/>
      <c r="B44" s="17" t="s">
        <v>101</v>
      </c>
      <c r="C44" s="13">
        <v>26510</v>
      </c>
      <c r="D44" s="17"/>
      <c r="E44" s="169" t="s">
        <v>12</v>
      </c>
      <c r="F44" s="30"/>
      <c r="G44" s="16"/>
      <c r="H44" s="16"/>
      <c r="I44" s="16"/>
    </row>
    <row r="45" spans="1:11" ht="60" x14ac:dyDescent="0.25">
      <c r="A45" s="15">
        <v>3</v>
      </c>
      <c r="B45" s="18" t="s">
        <v>102</v>
      </c>
      <c r="C45" s="13">
        <v>26600</v>
      </c>
      <c r="D45" s="13" t="s">
        <v>12</v>
      </c>
      <c r="E45" s="169" t="s">
        <v>12</v>
      </c>
      <c r="F45" s="30">
        <f>F19</f>
        <v>5310801.4399999995</v>
      </c>
      <c r="G45" s="30">
        <f>G19</f>
        <v>7383090</v>
      </c>
      <c r="H45" s="30">
        <f>H19</f>
        <v>7383090</v>
      </c>
      <c r="I45" s="16"/>
    </row>
    <row r="46" spans="1:11" ht="15.75" x14ac:dyDescent="0.25">
      <c r="A46" s="15"/>
      <c r="B46" s="17" t="s">
        <v>101</v>
      </c>
      <c r="C46" s="13">
        <v>26610</v>
      </c>
      <c r="D46" s="17"/>
      <c r="E46" s="172"/>
      <c r="F46" s="16">
        <f>F45</f>
        <v>5310801.4399999995</v>
      </c>
      <c r="G46" s="16">
        <f t="shared" ref="G46:H46" si="2">G45</f>
        <v>7383090</v>
      </c>
      <c r="H46" s="16">
        <f t="shared" si="2"/>
        <v>7383090</v>
      </c>
      <c r="I46" s="16"/>
    </row>
    <row r="48" spans="1:11" ht="16.5" x14ac:dyDescent="0.25">
      <c r="A48" s="31" t="s">
        <v>304</v>
      </c>
      <c r="B48"/>
      <c r="C48"/>
      <c r="D48"/>
      <c r="F48" t="s">
        <v>412</v>
      </c>
      <c r="G48"/>
    </row>
    <row r="49" spans="1:7" x14ac:dyDescent="0.25">
      <c r="A49" s="32" t="s">
        <v>305</v>
      </c>
      <c r="B49"/>
      <c r="C49"/>
      <c r="D49"/>
      <c r="E49"/>
      <c r="F49"/>
      <c r="G49" s="32"/>
    </row>
    <row r="50" spans="1:7" ht="16.5" x14ac:dyDescent="0.25">
      <c r="A50" s="31" t="s">
        <v>306</v>
      </c>
      <c r="B50"/>
      <c r="C50"/>
      <c r="D50" t="s">
        <v>413</v>
      </c>
      <c r="E50"/>
      <c r="F50"/>
      <c r="G50"/>
    </row>
    <row r="51" spans="1:7" x14ac:dyDescent="0.25">
      <c r="A51" s="32" t="s">
        <v>307</v>
      </c>
      <c r="B51"/>
      <c r="C51"/>
      <c r="D51"/>
      <c r="E51"/>
      <c r="F51"/>
      <c r="G51" s="32"/>
    </row>
    <row r="52" spans="1:7" ht="16.5" x14ac:dyDescent="0.25">
      <c r="A52" s="31" t="s">
        <v>308</v>
      </c>
      <c r="B52"/>
      <c r="C52" t="s">
        <v>413</v>
      </c>
      <c r="D52"/>
      <c r="E52"/>
      <c r="F52"/>
      <c r="G52"/>
    </row>
    <row r="53" spans="1:7" ht="16.5" x14ac:dyDescent="0.25">
      <c r="A53" s="31" t="s">
        <v>309</v>
      </c>
      <c r="B53"/>
      <c r="C53"/>
      <c r="D53"/>
      <c r="E53"/>
      <c r="F53"/>
      <c r="G53"/>
    </row>
    <row r="54" spans="1:7" ht="16.5" x14ac:dyDescent="0.25">
      <c r="A54" s="31" t="s">
        <v>310</v>
      </c>
      <c r="B54"/>
      <c r="C54"/>
      <c r="D54"/>
      <c r="E54"/>
      <c r="F54"/>
      <c r="G54"/>
    </row>
    <row r="55" spans="1:7" ht="16.5" x14ac:dyDescent="0.25">
      <c r="A55" s="31"/>
      <c r="B55"/>
      <c r="C55"/>
      <c r="D55"/>
      <c r="E55"/>
      <c r="F55"/>
      <c r="G55"/>
    </row>
    <row r="56" spans="1:7" ht="16.5" x14ac:dyDescent="0.25">
      <c r="A56" s="31" t="s">
        <v>311</v>
      </c>
      <c r="B56"/>
      <c r="C56"/>
      <c r="D56"/>
      <c r="E56"/>
      <c r="F56"/>
      <c r="G56"/>
    </row>
    <row r="57" spans="1:7" ht="16.5" x14ac:dyDescent="0.25">
      <c r="A57" s="31" t="s">
        <v>312</v>
      </c>
      <c r="B57"/>
      <c r="C57"/>
      <c r="D57"/>
      <c r="E57"/>
      <c r="F57"/>
      <c r="G57"/>
    </row>
    <row r="58" spans="1:7" x14ac:dyDescent="0.25">
      <c r="A58" s="32" t="s">
        <v>313</v>
      </c>
      <c r="B58"/>
      <c r="C58"/>
      <c r="D58"/>
      <c r="E58"/>
      <c r="F58"/>
      <c r="G58"/>
    </row>
    <row r="59" spans="1:7" ht="16.5" x14ac:dyDescent="0.25">
      <c r="A59" s="31" t="s">
        <v>312</v>
      </c>
      <c r="B59"/>
      <c r="C59"/>
      <c r="D59"/>
      <c r="E59"/>
      <c r="F59"/>
      <c r="G59"/>
    </row>
    <row r="60" spans="1:7" x14ac:dyDescent="0.25">
      <c r="A60" s="32" t="s">
        <v>314</v>
      </c>
      <c r="B60"/>
      <c r="C60"/>
      <c r="D60"/>
      <c r="E60"/>
      <c r="F60"/>
      <c r="G60"/>
    </row>
    <row r="61" spans="1:7" ht="16.5" x14ac:dyDescent="0.25">
      <c r="A61" s="31" t="s">
        <v>315</v>
      </c>
      <c r="B61"/>
      <c r="C61"/>
      <c r="D61"/>
      <c r="E61"/>
      <c r="F61"/>
      <c r="G61"/>
    </row>
    <row r="62" spans="1:7" x14ac:dyDescent="0.25">
      <c r="E62"/>
    </row>
    <row r="63" spans="1:7" x14ac:dyDescent="0.25">
      <c r="E63"/>
    </row>
    <row r="64" spans="1:7" x14ac:dyDescent="0.25">
      <c r="E64"/>
    </row>
    <row r="65" spans="5:5" x14ac:dyDescent="0.25">
      <c r="E65"/>
    </row>
    <row r="66" spans="5:5" x14ac:dyDescent="0.25">
      <c r="E66"/>
    </row>
  </sheetData>
  <mergeCells count="72">
    <mergeCell ref="F4:I4"/>
    <mergeCell ref="I5:I6"/>
    <mergeCell ref="E4:E6"/>
    <mergeCell ref="I9:I10"/>
    <mergeCell ref="A13:A14"/>
    <mergeCell ref="C13:C14"/>
    <mergeCell ref="D13:D14"/>
    <mergeCell ref="F13:F14"/>
    <mergeCell ref="G13:G14"/>
    <mergeCell ref="H13:H14"/>
    <mergeCell ref="I13:I14"/>
    <mergeCell ref="A9:A10"/>
    <mergeCell ref="C9:C10"/>
    <mergeCell ref="D9:D10"/>
    <mergeCell ref="F9:F10"/>
    <mergeCell ref="G9:G10"/>
    <mergeCell ref="H9:H10"/>
    <mergeCell ref="E9:E10"/>
    <mergeCell ref="E13:E14"/>
    <mergeCell ref="I17:I18"/>
    <mergeCell ref="A20:A21"/>
    <mergeCell ref="C20:C21"/>
    <mergeCell ref="D20:D21"/>
    <mergeCell ref="F20:F21"/>
    <mergeCell ref="G20:G21"/>
    <mergeCell ref="H20:H21"/>
    <mergeCell ref="I20:I21"/>
    <mergeCell ref="A17:A18"/>
    <mergeCell ref="C17:C18"/>
    <mergeCell ref="D17:D18"/>
    <mergeCell ref="F17:F18"/>
    <mergeCell ref="G17:G18"/>
    <mergeCell ref="H17:H18"/>
    <mergeCell ref="E17:E18"/>
    <mergeCell ref="I22:I23"/>
    <mergeCell ref="H26:H27"/>
    <mergeCell ref="I26:I27"/>
    <mergeCell ref="H22:H23"/>
    <mergeCell ref="E20:E21"/>
    <mergeCell ref="A22:A23"/>
    <mergeCell ref="C22:C23"/>
    <mergeCell ref="D22:D23"/>
    <mergeCell ref="F22:F23"/>
    <mergeCell ref="G22:G23"/>
    <mergeCell ref="E22:E23"/>
    <mergeCell ref="A26:A27"/>
    <mergeCell ref="C26:C27"/>
    <mergeCell ref="D26:D27"/>
    <mergeCell ref="F26:F27"/>
    <mergeCell ref="G26:G27"/>
    <mergeCell ref="E26:E27"/>
    <mergeCell ref="I34:I35"/>
    <mergeCell ref="A38:A39"/>
    <mergeCell ref="C38:C39"/>
    <mergeCell ref="D38:D39"/>
    <mergeCell ref="F38:F39"/>
    <mergeCell ref="G38:G39"/>
    <mergeCell ref="H38:H39"/>
    <mergeCell ref="I38:I39"/>
    <mergeCell ref="A34:A35"/>
    <mergeCell ref="C34:C35"/>
    <mergeCell ref="D34:D35"/>
    <mergeCell ref="F34:F35"/>
    <mergeCell ref="G34:G35"/>
    <mergeCell ref="H34:H35"/>
    <mergeCell ref="E34:E35"/>
    <mergeCell ref="E38:E39"/>
    <mergeCell ref="A1:C1"/>
    <mergeCell ref="A4:A6"/>
    <mergeCell ref="B4:B6"/>
    <mergeCell ref="C4:C6"/>
    <mergeCell ref="D4:D6"/>
  </mergeCells>
  <hyperlinks>
    <hyperlink ref="B8" location="Par1331" tooltip="&lt;10&gt; Плановые показатели выплат на закупку товаров, работ, услуг по строке 26000 раздела 2 &quot;Сведения по выплатам на закупку товаров, работ, услуг&quot; Плана распределяются на выплаты по контрактам (договорам), заключенным (планируемым к заключению) в соответс" display="Par1331"/>
    <hyperlink ref="B14" r:id="rId1" tooltip="Федеральный закон от 05.04.2013 N 44-ФЗ (ред. от 27.06.2019) &quot;О контрактной системе в сфере закупок товаров, работ, услуг для обеспечения государственных и муниципальных нужд&quot; (с изм. и доп., вступ. в силу с 31.07.2019){КонсультантПлюс}" display="consultantplus://offline/ref=A700257297D7A859C030468B937B2DBD85E5EB9C656B2AC230D6E9DC28482863625EFFB5D1534D768A4F99306AV1B3I"/>
    <hyperlink ref="B23" r:id="rId2" tooltip="Федеральный закон от 05.04.2013 N 44-ФЗ (ред. от 27.06.2019) &quot;О контрактной системе в сфере закупок товаров, работ, услуг для обеспечения государственных и муниципальных нужд&quot; (с изм. и доп., вступ. в силу с 31.07.2019){КонсультантПлюс}" display="consultantplus://offline/ref=A700257297D7A859C030468B937B2DBD85E5EB9C656B2AC230D6E9DC28482863625EFFB5D1534D768A4F99306AV1B3I"/>
    <hyperlink ref="B25" r:id="rId3" tooltip="&quot;Бюджетный кодекс Российской Федерации&quot; от 31.07.1998 N 145-ФЗ (ред. от 02.08.2019) (с изм. и доп., вступ. в силу с 01.09.2019){КонсультантПлюс}" display="consultantplus://offline/ref=A700257297D7A859C030468B937B2DBD85E4EF9A61612AC230D6E9DC28482863705EA7BBD15F557DD700DF65661BC70C92EDF194103DVEB9I"/>
    <hyperlink ref="B27" r:id="rId4" tooltip="Федеральный закон от 05.04.2013 N 44-ФЗ (ред. от 27.06.2019) &quot;О контрактной системе в сфере закупок товаров, работ, услуг для обеспечения государственных и муниципальных нужд&quot; (с изм. и доп., вступ. в силу с 31.07.2019){КонсультантПлюс}" display="consultantplus://offline/ref=A700257297D7A859C030468B937B2DBD85E5EB9C656B2AC230D6E9DC28482863625EFFB5D1534D768A4F99306AV1B3I"/>
    <hyperlink ref="B30" location="Par1335" tooltip="&lt;14&gt; Указывается сумма закупок товаров, работ, услуг, осуществляемых в соответствии с Федеральным законом N 44-ФЗ." display="Par1335"/>
    <hyperlink ref="B35" r:id="rId5" tooltip="Федеральный закон от 05.04.2013 N 44-ФЗ (ред. от 27.06.2019) &quot;О контрактной системе в сфере закупок товаров, работ, услуг для обеспечения государственных и муниципальных нужд&quot; (с изм. и доп., вступ. в силу с 31.07.2019){КонсультантПлюс}" display="consultantplus://offline/ref=A700257297D7A859C030468B937B2DBD85E5EB9C656B2AC230D6E9DC28482863625EFFB5D1534D768A4F99306AV1B3I"/>
    <hyperlink ref="B36" r:id="rId6" tooltip="Федеральный закон от 18.07.2011 N 223-ФЗ (ред. от 01.05.2019) &quot;О закупках товаров, работ, услуг отдельными видами юридических лиц&quot;{КонсультантПлюс}" display="consultantplus://offline/ref=A700257297D7A859C030468B937B2DBD85E5EB9E60602AC230D6E9DC28482863625EFFB5D1534D768A4F99306AV1B3I"/>
    <hyperlink ref="B39" r:id="rId7" tooltip="Федеральный закон от 05.04.2013 N 44-ФЗ (ред. от 27.06.2019) &quot;О контрактной системе в сфере закупок товаров, работ, услуг для обеспечения государственных и муниципальных нужд&quot; (с изм. и доп., вступ. в силу с 31.07.2019){КонсультантПлюс}" display="consultantplus://offline/ref=A700257297D7A859C030468B937B2DBD85E5EB9C656B2AC230D6E9DC28482863625EFFB5D1534D768A4F99306AV1B3I"/>
    <hyperlink ref="B42" r:id="rId8" tooltip="Федеральный закон от 18.07.2011 N 223-ФЗ (ред. от 01.05.2019) &quot;О закупках товаров, работ, услуг отдельными видами юридических лиц&quot;{КонсультантПлюс}" display="consultantplus://offline/ref=A700257297D7A859C030468B937B2DBD85E5EB9E60602AC230D6E9DC28482863625EFFB5D1534D768A4F99306AV1B3I"/>
    <hyperlink ref="B45" r:id="rId9" tooltip="Федеральный закон от 18.07.2011 N 223-ФЗ (ред. от 01.05.2019) &quot;О закупках товаров, работ, услуг отдельными видами юридических лиц&quot;{КонсультантПлюс}" display="consultantplus://offline/ref=A700257297D7A859C030468B937B2DBD85E5EB9E60602AC230D6E9DC28482863625EFFB5D1534D768A4F99306AV1B3I"/>
  </hyperlinks>
  <pageMargins left="0.78740157480314965" right="0.39370078740157483" top="0.39370078740157483" bottom="0.39370078740157483" header="0.31496062992125984" footer="0.31496062992125984"/>
  <pageSetup paperSize="9" scale="44" orientation="portrait"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"/>
  <sheetViews>
    <sheetView workbookViewId="0">
      <selection activeCell="F19" sqref="F19"/>
    </sheetView>
  </sheetViews>
  <sheetFormatPr defaultRowHeight="12.75" x14ac:dyDescent="0.2"/>
  <cols>
    <col min="1" max="1" width="21.42578125" style="3" customWidth="1"/>
    <col min="2" max="2" width="9.140625" style="3"/>
    <col min="3" max="14" width="14" style="3" customWidth="1"/>
    <col min="15" max="16384" width="9.140625" style="3"/>
  </cols>
  <sheetData>
    <row r="1" spans="1:14" x14ac:dyDescent="0.2">
      <c r="A1" s="3" t="s">
        <v>220</v>
      </c>
    </row>
    <row r="3" spans="1:14" x14ac:dyDescent="0.2">
      <c r="A3" s="3" t="s">
        <v>221</v>
      </c>
    </row>
    <row r="4" spans="1:14" ht="49.5" customHeight="1" x14ac:dyDescent="0.2">
      <c r="A4" s="241" t="s">
        <v>216</v>
      </c>
      <c r="B4" s="241" t="s">
        <v>1</v>
      </c>
      <c r="C4" s="241" t="s">
        <v>217</v>
      </c>
      <c r="D4" s="241"/>
      <c r="E4" s="241"/>
      <c r="F4" s="241" t="s">
        <v>218</v>
      </c>
      <c r="G4" s="241"/>
      <c r="H4" s="241"/>
      <c r="I4" s="241" t="s">
        <v>219</v>
      </c>
      <c r="J4" s="241"/>
      <c r="K4" s="241"/>
      <c r="L4" s="241" t="s">
        <v>115</v>
      </c>
      <c r="M4" s="241"/>
      <c r="N4" s="241"/>
    </row>
    <row r="5" spans="1:14" x14ac:dyDescent="0.2">
      <c r="A5" s="241"/>
      <c r="B5" s="241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</row>
    <row r="6" spans="1:14" ht="38.25" x14ac:dyDescent="0.2">
      <c r="A6" s="241"/>
      <c r="B6" s="241"/>
      <c r="C6" s="2" t="s">
        <v>75</v>
      </c>
      <c r="D6" s="2" t="s">
        <v>76</v>
      </c>
      <c r="E6" s="2" t="s">
        <v>77</v>
      </c>
      <c r="F6" s="2" t="s">
        <v>75</v>
      </c>
      <c r="G6" s="2" t="s">
        <v>76</v>
      </c>
      <c r="H6" s="2" t="s">
        <v>77</v>
      </c>
      <c r="I6" s="2" t="s">
        <v>75</v>
      </c>
      <c r="J6" s="2" t="s">
        <v>76</v>
      </c>
      <c r="K6" s="2" t="s">
        <v>77</v>
      </c>
      <c r="L6" s="2" t="s">
        <v>75</v>
      </c>
      <c r="M6" s="2" t="s">
        <v>76</v>
      </c>
      <c r="N6" s="2" t="s">
        <v>77</v>
      </c>
    </row>
    <row r="7" spans="1:14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x14ac:dyDescent="0.2">
      <c r="A8" s="6"/>
      <c r="B8" s="2">
        <v>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6" t="s">
        <v>135</v>
      </c>
      <c r="B9" s="2">
        <v>9000</v>
      </c>
      <c r="C9" s="2" t="s">
        <v>12</v>
      </c>
      <c r="D9" s="2" t="s">
        <v>12</v>
      </c>
      <c r="E9" s="2" t="s">
        <v>12</v>
      </c>
      <c r="F9" s="2" t="s">
        <v>12</v>
      </c>
      <c r="G9" s="2" t="s">
        <v>12</v>
      </c>
      <c r="H9" s="2" t="s">
        <v>12</v>
      </c>
      <c r="I9" s="2" t="s">
        <v>12</v>
      </c>
      <c r="J9" s="2" t="s">
        <v>12</v>
      </c>
      <c r="K9" s="2" t="s">
        <v>12</v>
      </c>
      <c r="L9" s="6"/>
      <c r="M9" s="6"/>
      <c r="N9" s="6"/>
    </row>
  </sheetData>
  <mergeCells count="6">
    <mergeCell ref="L4:N4"/>
    <mergeCell ref="A4:A6"/>
    <mergeCell ref="B4:B6"/>
    <mergeCell ref="C4:E4"/>
    <mergeCell ref="F4:H4"/>
    <mergeCell ref="I4:K4"/>
  </mergeCells>
  <pageMargins left="0.7" right="0.7" top="0.75" bottom="0.75" header="0.3" footer="0.3"/>
  <pageSetup paperSize="9" scale="66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9"/>
  <sheetViews>
    <sheetView workbookViewId="0">
      <selection activeCell="C5" sqref="C5"/>
    </sheetView>
  </sheetViews>
  <sheetFormatPr defaultRowHeight="12.75" x14ac:dyDescent="0.2"/>
  <cols>
    <col min="1" max="1" width="30.28515625" style="3" customWidth="1"/>
    <col min="2" max="2" width="9.140625" style="3"/>
    <col min="3" max="14" width="13.7109375" style="3" customWidth="1"/>
    <col min="15" max="16384" width="9.140625" style="3"/>
  </cols>
  <sheetData>
    <row r="1" spans="1:14" ht="15.75" x14ac:dyDescent="0.25">
      <c r="A1" s="46" t="s">
        <v>225</v>
      </c>
      <c r="B1" s="46"/>
      <c r="C1" s="46"/>
      <c r="D1" s="46"/>
      <c r="E1" s="46"/>
    </row>
    <row r="2" spans="1:14" ht="15.75" x14ac:dyDescent="0.25">
      <c r="A2" s="46"/>
      <c r="B2" s="46"/>
      <c r="C2" s="46"/>
      <c r="D2" s="46"/>
      <c r="E2" s="46"/>
    </row>
    <row r="3" spans="1:14" ht="15.75" x14ac:dyDescent="0.25">
      <c r="A3" s="46" t="s">
        <v>329</v>
      </c>
      <c r="B3" s="46"/>
      <c r="C3" s="46"/>
      <c r="D3" s="46"/>
      <c r="E3" s="46"/>
    </row>
    <row r="4" spans="1:14" ht="49.5" customHeight="1" x14ac:dyDescent="0.2">
      <c r="A4" s="241" t="s">
        <v>216</v>
      </c>
      <c r="B4" s="241" t="s">
        <v>1</v>
      </c>
      <c r="C4" s="247" t="s">
        <v>222</v>
      </c>
      <c r="D4" s="247"/>
      <c r="E4" s="247"/>
      <c r="F4" s="247" t="s">
        <v>223</v>
      </c>
      <c r="G4" s="247"/>
      <c r="H4" s="247"/>
      <c r="I4" s="247" t="s">
        <v>224</v>
      </c>
      <c r="J4" s="247"/>
      <c r="K4" s="247"/>
      <c r="L4" s="247" t="s">
        <v>115</v>
      </c>
      <c r="M4" s="247"/>
      <c r="N4" s="247"/>
    </row>
    <row r="5" spans="1:14" x14ac:dyDescent="0.2">
      <c r="A5" s="241"/>
      <c r="B5" s="241"/>
      <c r="C5" s="48" t="s">
        <v>323</v>
      </c>
      <c r="D5" s="48" t="s">
        <v>324</v>
      </c>
      <c r="E5" s="48" t="s">
        <v>326</v>
      </c>
      <c r="F5" s="48" t="s">
        <v>323</v>
      </c>
      <c r="G5" s="48" t="s">
        <v>324</v>
      </c>
      <c r="H5" s="48" t="s">
        <v>326</v>
      </c>
      <c r="I5" s="48" t="s">
        <v>323</v>
      </c>
      <c r="J5" s="48" t="s">
        <v>324</v>
      </c>
      <c r="K5" s="48" t="s">
        <v>326</v>
      </c>
      <c r="L5" s="48" t="s">
        <v>323</v>
      </c>
      <c r="M5" s="48" t="s">
        <v>324</v>
      </c>
      <c r="N5" s="48" t="s">
        <v>326</v>
      </c>
    </row>
    <row r="6" spans="1:14" ht="38.25" x14ac:dyDescent="0.2">
      <c r="A6" s="241"/>
      <c r="B6" s="241"/>
      <c r="C6" s="2" t="s">
        <v>75</v>
      </c>
      <c r="D6" s="2" t="s">
        <v>76</v>
      </c>
      <c r="E6" s="2" t="s">
        <v>77</v>
      </c>
      <c r="F6" s="2" t="s">
        <v>75</v>
      </c>
      <c r="G6" s="2" t="s">
        <v>76</v>
      </c>
      <c r="H6" s="2" t="s">
        <v>77</v>
      </c>
      <c r="I6" s="2" t="s">
        <v>75</v>
      </c>
      <c r="J6" s="2" t="s">
        <v>76</v>
      </c>
      <c r="K6" s="2" t="s">
        <v>77</v>
      </c>
      <c r="L6" s="2" t="s">
        <v>75</v>
      </c>
      <c r="M6" s="2" t="s">
        <v>76</v>
      </c>
      <c r="N6" s="2" t="s">
        <v>77</v>
      </c>
    </row>
    <row r="7" spans="1:14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x14ac:dyDescent="0.2">
      <c r="A8" s="6" t="s">
        <v>281</v>
      </c>
      <c r="B8" s="2">
        <v>1</v>
      </c>
      <c r="C8" s="6"/>
      <c r="D8" s="6"/>
      <c r="E8" s="6"/>
      <c r="F8" s="6"/>
      <c r="G8" s="6"/>
      <c r="H8" s="6"/>
      <c r="I8" s="33"/>
      <c r="J8" s="33"/>
      <c r="K8" s="33"/>
      <c r="L8" s="33"/>
      <c r="M8" s="33"/>
      <c r="N8" s="33"/>
    </row>
    <row r="9" spans="1:14" x14ac:dyDescent="0.2">
      <c r="A9" s="49" t="s">
        <v>135</v>
      </c>
      <c r="B9" s="48">
        <v>9000</v>
      </c>
      <c r="C9" s="48" t="s">
        <v>12</v>
      </c>
      <c r="D9" s="48" t="s">
        <v>12</v>
      </c>
      <c r="E9" s="48" t="s">
        <v>12</v>
      </c>
      <c r="F9" s="48" t="s">
        <v>12</v>
      </c>
      <c r="G9" s="48" t="s">
        <v>12</v>
      </c>
      <c r="H9" s="48" t="s">
        <v>12</v>
      </c>
      <c r="I9" s="48" t="s">
        <v>12</v>
      </c>
      <c r="J9" s="48" t="s">
        <v>12</v>
      </c>
      <c r="K9" s="48" t="s">
        <v>12</v>
      </c>
      <c r="L9" s="62">
        <f>L8</f>
        <v>0</v>
      </c>
      <c r="M9" s="62">
        <f t="shared" ref="M9:N9" si="0">M8</f>
        <v>0</v>
      </c>
      <c r="N9" s="62">
        <f t="shared" si="0"/>
        <v>0</v>
      </c>
    </row>
  </sheetData>
  <mergeCells count="6">
    <mergeCell ref="L4:N4"/>
    <mergeCell ref="A4:A6"/>
    <mergeCell ref="B4:B6"/>
    <mergeCell ref="C4:E4"/>
    <mergeCell ref="F4:H4"/>
    <mergeCell ref="I4:K4"/>
  </mergeCells>
  <pageMargins left="0.7" right="0.7" top="0.75" bottom="0.75" header="0.3" footer="0.3"/>
  <pageSetup paperSize="9" scale="6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"/>
  <sheetViews>
    <sheetView workbookViewId="0">
      <selection activeCell="F6" sqref="F6"/>
    </sheetView>
  </sheetViews>
  <sheetFormatPr defaultRowHeight="12.75" x14ac:dyDescent="0.2"/>
  <cols>
    <col min="1" max="1" width="21.28515625" style="3" customWidth="1"/>
    <col min="2" max="2" width="9.140625" style="3"/>
    <col min="3" max="11" width="13.85546875" style="3" customWidth="1"/>
    <col min="12" max="16384" width="9.140625" style="3"/>
  </cols>
  <sheetData>
    <row r="1" spans="1:11" x14ac:dyDescent="0.2">
      <c r="A1" s="3" t="s">
        <v>229</v>
      </c>
    </row>
    <row r="2" spans="1:11" ht="33" customHeight="1" x14ac:dyDescent="0.2">
      <c r="A2" s="241" t="s">
        <v>0</v>
      </c>
      <c r="B2" s="241" t="s">
        <v>1</v>
      </c>
      <c r="C2" s="241" t="s">
        <v>226</v>
      </c>
      <c r="D2" s="241"/>
      <c r="E2" s="241"/>
      <c r="F2" s="241" t="s">
        <v>227</v>
      </c>
      <c r="G2" s="241"/>
      <c r="H2" s="241"/>
      <c r="I2" s="241" t="s">
        <v>228</v>
      </c>
      <c r="J2" s="241"/>
      <c r="K2" s="241"/>
    </row>
    <row r="3" spans="1:11" x14ac:dyDescent="0.2">
      <c r="A3" s="241"/>
      <c r="B3" s="241"/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ht="38.25" x14ac:dyDescent="0.2">
      <c r="A4" s="241"/>
      <c r="B4" s="241"/>
      <c r="C4" s="2" t="s">
        <v>75</v>
      </c>
      <c r="D4" s="2" t="s">
        <v>76</v>
      </c>
      <c r="E4" s="2" t="s">
        <v>77</v>
      </c>
      <c r="F4" s="2" t="s">
        <v>75</v>
      </c>
      <c r="G4" s="2" t="s">
        <v>76</v>
      </c>
      <c r="H4" s="2" t="s">
        <v>77</v>
      </c>
      <c r="I4" s="2" t="s">
        <v>75</v>
      </c>
      <c r="J4" s="2" t="s">
        <v>76</v>
      </c>
      <c r="K4" s="2" t="s">
        <v>77</v>
      </c>
    </row>
    <row r="5" spans="1:1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5.5" x14ac:dyDescent="0.2">
      <c r="A6" s="6" t="s">
        <v>282</v>
      </c>
      <c r="B6" s="2">
        <v>1</v>
      </c>
      <c r="C6" s="6"/>
      <c r="D6" s="6"/>
      <c r="E6" s="6"/>
      <c r="F6" s="6"/>
      <c r="G6" s="6"/>
      <c r="H6" s="6"/>
      <c r="I6" s="5">
        <f>C6*F6</f>
        <v>0</v>
      </c>
      <c r="J6" s="5"/>
      <c r="K6" s="5"/>
    </row>
    <row r="7" spans="1:11" x14ac:dyDescent="0.2">
      <c r="A7" s="6" t="s">
        <v>135</v>
      </c>
      <c r="B7" s="2">
        <v>9000</v>
      </c>
      <c r="C7" s="2" t="s">
        <v>12</v>
      </c>
      <c r="D7" s="2" t="s">
        <v>12</v>
      </c>
      <c r="E7" s="2" t="s">
        <v>12</v>
      </c>
      <c r="F7" s="2" t="s">
        <v>12</v>
      </c>
      <c r="G7" s="2" t="s">
        <v>12</v>
      </c>
      <c r="H7" s="2" t="s">
        <v>12</v>
      </c>
      <c r="I7" s="5">
        <f>I6</f>
        <v>0</v>
      </c>
      <c r="J7" s="5">
        <f t="shared" ref="J7:K7" si="0">J6</f>
        <v>0</v>
      </c>
      <c r="K7" s="5">
        <f t="shared" si="0"/>
        <v>0</v>
      </c>
    </row>
  </sheetData>
  <mergeCells count="5">
    <mergeCell ref="A2:A4"/>
    <mergeCell ref="B2:B4"/>
    <mergeCell ref="C2:E2"/>
    <mergeCell ref="F2:H2"/>
    <mergeCell ref="I2:K2"/>
  </mergeCells>
  <pageMargins left="0.7" right="0.7" top="0.75" bottom="0.75" header="0.3" footer="0.3"/>
  <pageSetup paperSize="9" scale="84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"/>
  <sheetViews>
    <sheetView workbookViewId="0">
      <selection activeCell="D10" sqref="D10"/>
    </sheetView>
  </sheetViews>
  <sheetFormatPr defaultRowHeight="12.75" x14ac:dyDescent="0.2"/>
  <cols>
    <col min="1" max="1" width="23.42578125" style="3" customWidth="1"/>
    <col min="2" max="2" width="9.140625" style="3"/>
    <col min="3" max="11" width="14.140625" style="3" customWidth="1"/>
    <col min="12" max="16384" width="9.140625" style="3"/>
  </cols>
  <sheetData>
    <row r="1" spans="1:11" x14ac:dyDescent="0.2">
      <c r="A1" s="3" t="s">
        <v>233</v>
      </c>
    </row>
    <row r="3" spans="1:11" ht="49.5" customHeight="1" x14ac:dyDescent="0.2">
      <c r="A3" s="241" t="s">
        <v>216</v>
      </c>
      <c r="B3" s="241" t="s">
        <v>1</v>
      </c>
      <c r="C3" s="241" t="s">
        <v>230</v>
      </c>
      <c r="D3" s="241"/>
      <c r="E3" s="241"/>
      <c r="F3" s="241" t="s">
        <v>231</v>
      </c>
      <c r="G3" s="241"/>
      <c r="H3" s="241"/>
      <c r="I3" s="241" t="s">
        <v>232</v>
      </c>
      <c r="J3" s="241"/>
      <c r="K3" s="241"/>
    </row>
    <row r="4" spans="1:11" x14ac:dyDescent="0.2">
      <c r="A4" s="241"/>
      <c r="B4" s="241"/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ht="38.25" x14ac:dyDescent="0.2">
      <c r="A5" s="241"/>
      <c r="B5" s="241"/>
      <c r="C5" s="2" t="s">
        <v>75</v>
      </c>
      <c r="D5" s="2" t="s">
        <v>76</v>
      </c>
      <c r="E5" s="2" t="s">
        <v>77</v>
      </c>
      <c r="F5" s="2" t="s">
        <v>75</v>
      </c>
      <c r="G5" s="2" t="s">
        <v>76</v>
      </c>
      <c r="H5" s="2" t="s">
        <v>77</v>
      </c>
      <c r="I5" s="2" t="s">
        <v>75</v>
      </c>
      <c r="J5" s="2" t="s">
        <v>76</v>
      </c>
      <c r="K5" s="2" t="s">
        <v>77</v>
      </c>
    </row>
    <row r="6" spans="1:1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x14ac:dyDescent="0.2">
      <c r="A7" s="6"/>
      <c r="B7" s="2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6"/>
      <c r="B8" s="2">
        <v>2</v>
      </c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A10" s="6" t="s">
        <v>135</v>
      </c>
      <c r="B10" s="2">
        <v>9000</v>
      </c>
      <c r="C10" s="2" t="s">
        <v>12</v>
      </c>
      <c r="D10" s="2" t="s">
        <v>12</v>
      </c>
      <c r="E10" s="2" t="s">
        <v>12</v>
      </c>
      <c r="F10" s="2" t="s">
        <v>12</v>
      </c>
      <c r="G10" s="2" t="s">
        <v>12</v>
      </c>
      <c r="H10" s="2" t="s">
        <v>12</v>
      </c>
      <c r="I10" s="6"/>
      <c r="J10" s="6"/>
      <c r="K10" s="6"/>
    </row>
  </sheetData>
  <mergeCells count="5">
    <mergeCell ref="A3:A5"/>
    <mergeCell ref="B3:B5"/>
    <mergeCell ref="C3:E3"/>
    <mergeCell ref="F3:H3"/>
    <mergeCell ref="I3:K3"/>
  </mergeCells>
  <pageMargins left="0.7" right="0.7" top="0.75" bottom="0.75" header="0.3" footer="0.3"/>
  <pageSetup paperSize="9" scale="82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"/>
  <sheetViews>
    <sheetView topLeftCell="B1" workbookViewId="0">
      <selection activeCell="F23" sqref="F23"/>
    </sheetView>
  </sheetViews>
  <sheetFormatPr defaultRowHeight="12.75" x14ac:dyDescent="0.2"/>
  <cols>
    <col min="1" max="1" width="19.85546875" style="3" customWidth="1"/>
    <col min="2" max="2" width="9.140625" style="3"/>
    <col min="3" max="11" width="15.7109375" style="3" customWidth="1"/>
    <col min="12" max="16384" width="9.140625" style="3"/>
  </cols>
  <sheetData>
    <row r="1" spans="1:11" x14ac:dyDescent="0.2">
      <c r="A1" s="3" t="s">
        <v>234</v>
      </c>
    </row>
    <row r="3" spans="1:11" ht="33" customHeight="1" x14ac:dyDescent="0.2">
      <c r="A3" s="241" t="s">
        <v>216</v>
      </c>
      <c r="B3" s="241" t="s">
        <v>1</v>
      </c>
      <c r="C3" s="241" t="s">
        <v>226</v>
      </c>
      <c r="D3" s="241"/>
      <c r="E3" s="241"/>
      <c r="F3" s="241" t="s">
        <v>227</v>
      </c>
      <c r="G3" s="241"/>
      <c r="H3" s="241"/>
      <c r="I3" s="241" t="s">
        <v>228</v>
      </c>
      <c r="J3" s="241"/>
      <c r="K3" s="241"/>
    </row>
    <row r="4" spans="1:11" x14ac:dyDescent="0.2">
      <c r="A4" s="241"/>
      <c r="B4" s="241"/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ht="38.25" x14ac:dyDescent="0.2">
      <c r="A5" s="241"/>
      <c r="B5" s="241"/>
      <c r="C5" s="2" t="s">
        <v>75</v>
      </c>
      <c r="D5" s="2" t="s">
        <v>76</v>
      </c>
      <c r="E5" s="2" t="s">
        <v>77</v>
      </c>
      <c r="F5" s="2" t="s">
        <v>75</v>
      </c>
      <c r="G5" s="2" t="s">
        <v>76</v>
      </c>
      <c r="H5" s="2" t="s">
        <v>77</v>
      </c>
      <c r="I5" s="2" t="s">
        <v>75</v>
      </c>
      <c r="J5" s="2" t="s">
        <v>76</v>
      </c>
      <c r="K5" s="2" t="s">
        <v>77</v>
      </c>
    </row>
    <row r="6" spans="1:1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x14ac:dyDescent="0.2">
      <c r="A7" s="6"/>
      <c r="B7" s="2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6"/>
      <c r="B8" s="2">
        <v>2</v>
      </c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A10" s="6" t="s">
        <v>135</v>
      </c>
      <c r="B10" s="2">
        <v>9000</v>
      </c>
      <c r="C10" s="2" t="s">
        <v>12</v>
      </c>
      <c r="D10" s="2" t="s">
        <v>12</v>
      </c>
      <c r="E10" s="2" t="s">
        <v>12</v>
      </c>
      <c r="F10" s="2" t="s">
        <v>12</v>
      </c>
      <c r="G10" s="2" t="s">
        <v>12</v>
      </c>
      <c r="H10" s="2" t="s">
        <v>12</v>
      </c>
      <c r="I10" s="6"/>
      <c r="J10" s="6"/>
      <c r="K10" s="6"/>
    </row>
  </sheetData>
  <mergeCells count="5">
    <mergeCell ref="A3:A5"/>
    <mergeCell ref="B3:B5"/>
    <mergeCell ref="C3:E3"/>
    <mergeCell ref="F3:H3"/>
    <mergeCell ref="I3:K3"/>
  </mergeCells>
  <pageMargins left="0.7" right="0.7" top="0.75" bottom="0.75" header="0.3" footer="0.3"/>
  <pageSetup paperSize="9" scale="76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"/>
  <sheetViews>
    <sheetView workbookViewId="0">
      <selection activeCell="I28" sqref="I28"/>
    </sheetView>
  </sheetViews>
  <sheetFormatPr defaultRowHeight="12.75" x14ac:dyDescent="0.2"/>
  <cols>
    <col min="1" max="1" width="20.85546875" style="3" customWidth="1"/>
    <col min="2" max="2" width="9.140625" style="3"/>
    <col min="3" max="11" width="17.140625" style="3" customWidth="1"/>
    <col min="12" max="16384" width="9.140625" style="3"/>
  </cols>
  <sheetData>
    <row r="1" spans="1:11" x14ac:dyDescent="0.2">
      <c r="A1" s="3" t="s">
        <v>235</v>
      </c>
    </row>
    <row r="3" spans="1:11" x14ac:dyDescent="0.2">
      <c r="A3" s="3" t="s">
        <v>279</v>
      </c>
    </row>
    <row r="4" spans="1:11" ht="33" customHeight="1" x14ac:dyDescent="0.2">
      <c r="A4" s="241" t="s">
        <v>216</v>
      </c>
      <c r="B4" s="241" t="s">
        <v>1</v>
      </c>
      <c r="C4" s="241" t="s">
        <v>226</v>
      </c>
      <c r="D4" s="241"/>
      <c r="E4" s="241"/>
      <c r="F4" s="241" t="s">
        <v>227</v>
      </c>
      <c r="G4" s="241"/>
      <c r="H4" s="241"/>
      <c r="I4" s="241" t="s">
        <v>228</v>
      </c>
      <c r="J4" s="241"/>
      <c r="K4" s="241"/>
    </row>
    <row r="5" spans="1:11" x14ac:dyDescent="0.2">
      <c r="A5" s="241"/>
      <c r="B5" s="241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</row>
    <row r="6" spans="1:11" ht="25.5" x14ac:dyDescent="0.2">
      <c r="A6" s="241"/>
      <c r="B6" s="241"/>
      <c r="C6" s="2" t="s">
        <v>75</v>
      </c>
      <c r="D6" s="2" t="s">
        <v>76</v>
      </c>
      <c r="E6" s="2" t="s">
        <v>77</v>
      </c>
      <c r="F6" s="2" t="s">
        <v>75</v>
      </c>
      <c r="G6" s="2" t="s">
        <v>76</v>
      </c>
      <c r="H6" s="2" t="s">
        <v>77</v>
      </c>
      <c r="I6" s="2" t="s">
        <v>75</v>
      </c>
      <c r="J6" s="2" t="s">
        <v>76</v>
      </c>
      <c r="K6" s="2" t="s">
        <v>77</v>
      </c>
    </row>
    <row r="7" spans="1:1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x14ac:dyDescent="0.2">
      <c r="A8" s="6" t="s">
        <v>283</v>
      </c>
      <c r="B8" s="2">
        <v>1</v>
      </c>
      <c r="C8" s="6">
        <v>0</v>
      </c>
      <c r="D8" s="6"/>
      <c r="E8" s="6"/>
      <c r="F8" s="6">
        <v>1</v>
      </c>
      <c r="G8" s="6"/>
      <c r="H8" s="6"/>
      <c r="I8" s="5">
        <v>0</v>
      </c>
      <c r="J8" s="5">
        <f t="shared" ref="J8:K9" si="0">D8*G8</f>
        <v>0</v>
      </c>
      <c r="K8" s="5">
        <f t="shared" si="0"/>
        <v>0</v>
      </c>
    </row>
    <row r="9" spans="1:11" x14ac:dyDescent="0.2">
      <c r="A9" s="6" t="s">
        <v>284</v>
      </c>
      <c r="B9" s="2">
        <v>2</v>
      </c>
      <c r="C9" s="6">
        <v>0</v>
      </c>
      <c r="D9" s="6"/>
      <c r="E9" s="6"/>
      <c r="F9" s="6">
        <v>1</v>
      </c>
      <c r="G9" s="6"/>
      <c r="H9" s="6"/>
      <c r="I9" s="5">
        <v>0</v>
      </c>
      <c r="J9" s="5">
        <f t="shared" si="0"/>
        <v>0</v>
      </c>
      <c r="K9" s="5">
        <f t="shared" si="0"/>
        <v>0</v>
      </c>
    </row>
    <row r="10" spans="1:11" x14ac:dyDescent="0.2">
      <c r="A10" s="6" t="s">
        <v>135</v>
      </c>
      <c r="B10" s="2">
        <v>9000</v>
      </c>
      <c r="C10" s="2" t="s">
        <v>12</v>
      </c>
      <c r="D10" s="2" t="s">
        <v>12</v>
      </c>
      <c r="E10" s="2" t="s">
        <v>12</v>
      </c>
      <c r="F10" s="2" t="s">
        <v>12</v>
      </c>
      <c r="G10" s="2" t="s">
        <v>12</v>
      </c>
      <c r="H10" s="2" t="s">
        <v>12</v>
      </c>
      <c r="I10" s="5">
        <f>SUM(I8:I9)</f>
        <v>0</v>
      </c>
      <c r="J10" s="5">
        <f t="shared" ref="J10:K10" si="1">SUM(J8:J9)</f>
        <v>0</v>
      </c>
      <c r="K10" s="5">
        <f t="shared" si="1"/>
        <v>0</v>
      </c>
    </row>
  </sheetData>
  <mergeCells count="5">
    <mergeCell ref="A4:A6"/>
    <mergeCell ref="B4:B6"/>
    <mergeCell ref="C4:E4"/>
    <mergeCell ref="F4:H4"/>
    <mergeCell ref="I4:K4"/>
  </mergeCells>
  <pageMargins left="0.7" right="0.7" top="0.75" bottom="0.75" header="0.3" footer="0.3"/>
  <pageSetup paperSize="9" scale="7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75"/>
  <sheetViews>
    <sheetView topLeftCell="A55" zoomScale="80" zoomScaleNormal="80" workbookViewId="0">
      <selection activeCell="A54" sqref="A54:O75"/>
    </sheetView>
  </sheetViews>
  <sheetFormatPr defaultRowHeight="12.75" x14ac:dyDescent="0.2"/>
  <cols>
    <col min="1" max="1" width="33.28515625" style="3" customWidth="1"/>
    <col min="2" max="2" width="8.7109375" style="3" customWidth="1"/>
    <col min="3" max="3" width="14.28515625" style="3" bestFit="1" customWidth="1"/>
    <col min="4" max="4" width="15.140625" style="3" customWidth="1"/>
    <col min="5" max="6" width="14.42578125" style="3" customWidth="1"/>
    <col min="7" max="7" width="14.85546875" style="3" customWidth="1"/>
    <col min="8" max="8" width="15.5703125" style="3" customWidth="1"/>
    <col min="9" max="9" width="12.5703125" style="3" bestFit="1" customWidth="1"/>
    <col min="10" max="10" width="12.5703125" style="3" customWidth="1"/>
    <col min="11" max="12" width="14.42578125" style="3" customWidth="1"/>
    <col min="13" max="13" width="13.140625" style="3" customWidth="1"/>
    <col min="14" max="14" width="13.85546875" style="3" customWidth="1"/>
    <col min="15" max="15" width="16.85546875" style="3" customWidth="1"/>
    <col min="16" max="16" width="13.7109375" style="3" customWidth="1"/>
    <col min="17" max="17" width="12.85546875" style="3" customWidth="1"/>
    <col min="18" max="18" width="9.140625" style="3"/>
    <col min="19" max="19" width="30.5703125" style="3" customWidth="1"/>
    <col min="20" max="16384" width="9.140625" style="3"/>
  </cols>
  <sheetData>
    <row r="1" spans="1:19" ht="15.75" x14ac:dyDescent="0.25">
      <c r="A1" s="245" t="s">
        <v>251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9" ht="15.7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9" ht="15.75" x14ac:dyDescent="0.25">
      <c r="A3" s="245" t="s">
        <v>252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9" ht="15.7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9" ht="15.7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9" ht="12.75" customHeight="1" x14ac:dyDescent="0.2">
      <c r="A6" s="268" t="s">
        <v>0</v>
      </c>
      <c r="B6" s="268" t="s">
        <v>1</v>
      </c>
      <c r="C6" s="273" t="s">
        <v>115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19" ht="15" customHeight="1" x14ac:dyDescent="0.2">
      <c r="A7" s="269"/>
      <c r="B7" s="269"/>
      <c r="C7" s="271" t="s">
        <v>452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1:19" ht="14.25" x14ac:dyDescent="0.2">
      <c r="A8" s="269"/>
      <c r="B8" s="269"/>
      <c r="C8" s="271" t="s">
        <v>75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</row>
    <row r="9" spans="1:19" ht="85.5" x14ac:dyDescent="0.2">
      <c r="A9" s="270"/>
      <c r="B9" s="270"/>
      <c r="C9" s="57" t="s">
        <v>288</v>
      </c>
      <c r="D9" s="57" t="s">
        <v>397</v>
      </c>
      <c r="E9" s="57" t="s">
        <v>398</v>
      </c>
      <c r="F9" s="57" t="s">
        <v>399</v>
      </c>
      <c r="G9" s="57" t="s">
        <v>400</v>
      </c>
      <c r="H9" s="57" t="s">
        <v>401</v>
      </c>
      <c r="I9" s="57" t="s">
        <v>402</v>
      </c>
      <c r="J9" s="57" t="s">
        <v>403</v>
      </c>
      <c r="K9" s="57" t="s">
        <v>404</v>
      </c>
      <c r="L9" s="57" t="s">
        <v>405</v>
      </c>
      <c r="M9" s="57" t="s">
        <v>406</v>
      </c>
      <c r="N9" s="57" t="s">
        <v>407</v>
      </c>
      <c r="O9" s="57" t="s">
        <v>446</v>
      </c>
      <c r="P9" s="165" t="s">
        <v>484</v>
      </c>
      <c r="Q9" s="165" t="s">
        <v>485</v>
      </c>
    </row>
    <row r="10" spans="1:19" x14ac:dyDescent="0.2">
      <c r="A10" s="2">
        <v>1</v>
      </c>
      <c r="B10" s="2"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17"/>
      <c r="Q10" s="117"/>
    </row>
    <row r="11" spans="1:19" ht="76.5" x14ac:dyDescent="0.2">
      <c r="A11" s="6" t="s">
        <v>236</v>
      </c>
      <c r="B11" s="181" t="s">
        <v>501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17"/>
      <c r="Q11" s="117"/>
    </row>
    <row r="12" spans="1:19" ht="51" x14ac:dyDescent="0.2">
      <c r="A12" s="6" t="s">
        <v>237</v>
      </c>
      <c r="B12" s="181" t="s">
        <v>502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117"/>
      <c r="Q12" s="117"/>
      <c r="S12" s="82"/>
    </row>
    <row r="13" spans="1:19" ht="31.5" x14ac:dyDescent="0.2">
      <c r="A13" s="58" t="s">
        <v>238</v>
      </c>
      <c r="B13" s="181" t="s">
        <v>503</v>
      </c>
      <c r="C13" s="59">
        <f>SUM(D13:Q13)</f>
        <v>7383090.6799999997</v>
      </c>
      <c r="D13" s="203">
        <f>SUM(D14:D24)</f>
        <v>4974400</v>
      </c>
      <c r="E13" s="59">
        <f>SUM(E14:E24)</f>
        <v>154730</v>
      </c>
      <c r="F13" s="59">
        <f t="shared" ref="F13:N13" si="0">SUM(F14:F24)</f>
        <v>232200</v>
      </c>
      <c r="G13" s="203">
        <f t="shared" si="0"/>
        <v>20000</v>
      </c>
      <c r="H13" s="59">
        <f t="shared" si="0"/>
        <v>40260</v>
      </c>
      <c r="I13" s="59">
        <f t="shared" si="0"/>
        <v>0</v>
      </c>
      <c r="J13" s="59">
        <f>SUM(J14:J24)</f>
        <v>0</v>
      </c>
      <c r="K13" s="59">
        <f t="shared" si="0"/>
        <v>1961500</v>
      </c>
      <c r="L13" s="59">
        <f>SUM(L14:L24)</f>
        <v>0</v>
      </c>
      <c r="M13" s="59">
        <f t="shared" si="0"/>
        <v>0.68</v>
      </c>
      <c r="N13" s="59">
        <f t="shared" si="0"/>
        <v>0</v>
      </c>
      <c r="O13" s="59">
        <f>SUM(O14:O24)</f>
        <v>0</v>
      </c>
      <c r="P13" s="118">
        <f>P23+P24</f>
        <v>0</v>
      </c>
      <c r="Q13" s="118">
        <f>Q23+Q24</f>
        <v>0</v>
      </c>
      <c r="S13" s="82">
        <f>D13+E13+H13+F13+G13+O13</f>
        <v>5421590</v>
      </c>
    </row>
    <row r="14" spans="1:19" ht="15" customHeight="1" x14ac:dyDescent="0.2">
      <c r="A14" s="58" t="s">
        <v>15</v>
      </c>
      <c r="B14" s="275" t="s">
        <v>525</v>
      </c>
      <c r="C14" s="264">
        <f>SUM(D14:O15)</f>
        <v>48440</v>
      </c>
      <c r="D14" s="277"/>
      <c r="E14" s="264">
        <f>'3.13.2 связь'!L8</f>
        <v>22440</v>
      </c>
      <c r="F14" s="277"/>
      <c r="G14" s="277"/>
      <c r="H14" s="277">
        <f>'3.13.2 связь'!L9</f>
        <v>26000</v>
      </c>
      <c r="I14" s="277"/>
      <c r="J14" s="266"/>
      <c r="K14" s="277"/>
      <c r="L14" s="266"/>
      <c r="M14" s="277"/>
      <c r="N14" s="266"/>
      <c r="O14" s="277"/>
      <c r="P14" s="280"/>
      <c r="Q14" s="262"/>
    </row>
    <row r="15" spans="1:19" ht="15.75" x14ac:dyDescent="0.2">
      <c r="A15" s="58" t="s">
        <v>239</v>
      </c>
      <c r="B15" s="276"/>
      <c r="C15" s="265"/>
      <c r="D15" s="277"/>
      <c r="E15" s="265"/>
      <c r="F15" s="277"/>
      <c r="G15" s="277"/>
      <c r="H15" s="277"/>
      <c r="I15" s="277"/>
      <c r="J15" s="282"/>
      <c r="K15" s="277"/>
      <c r="L15" s="282"/>
      <c r="M15" s="277"/>
      <c r="N15" s="267"/>
      <c r="O15" s="277"/>
      <c r="P15" s="281"/>
      <c r="Q15" s="263"/>
    </row>
    <row r="16" spans="1:19" ht="15.75" x14ac:dyDescent="0.2">
      <c r="A16" s="58" t="s">
        <v>240</v>
      </c>
      <c r="B16" s="181" t="s">
        <v>526</v>
      </c>
      <c r="C16" s="59">
        <f t="shared" ref="C16:C22" si="1">SUM(D16:O16)</f>
        <v>0</v>
      </c>
      <c r="D16" s="59"/>
      <c r="E16" s="59">
        <f>'3.13.3'!I6</f>
        <v>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17"/>
      <c r="Q16" s="117"/>
    </row>
    <row r="17" spans="1:19" ht="15.75" x14ac:dyDescent="0.2">
      <c r="A17" s="58" t="s">
        <v>241</v>
      </c>
      <c r="B17" s="181" t="s">
        <v>527</v>
      </c>
      <c r="C17" s="59">
        <f t="shared" si="1"/>
        <v>2100300</v>
      </c>
      <c r="D17" s="59">
        <f>'3.13.4 ЖКС'!I24</f>
        <v>2100300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17"/>
      <c r="Q17" s="117"/>
    </row>
    <row r="18" spans="1:19" ht="15.75" x14ac:dyDescent="0.2">
      <c r="A18" s="58" t="s">
        <v>242</v>
      </c>
      <c r="B18" s="181" t="s">
        <v>528</v>
      </c>
      <c r="C18" s="59">
        <f t="shared" si="1"/>
        <v>0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117"/>
      <c r="Q18" s="117"/>
      <c r="S18" s="82"/>
    </row>
    <row r="19" spans="1:19" ht="15" customHeight="1" x14ac:dyDescent="0.25">
      <c r="A19" s="58" t="s">
        <v>243</v>
      </c>
      <c r="B19" s="181" t="s">
        <v>529</v>
      </c>
      <c r="C19" s="59">
        <f>SUM(D19:P19)</f>
        <v>599889.28</v>
      </c>
      <c r="D19" s="59">
        <f>'3.13.6 ст 225'!I26+'3.13.6 ст 225'!I38</f>
        <v>599889.28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>
        <f>'3.13.6 ст 225'!I59</f>
        <v>0</v>
      </c>
      <c r="P19" s="119">
        <f>'3.13.6 ст 225'!I47</f>
        <v>0</v>
      </c>
      <c r="Q19" s="117"/>
    </row>
    <row r="20" spans="1:19" ht="15.75" x14ac:dyDescent="0.2">
      <c r="A20" s="58" t="s">
        <v>244</v>
      </c>
      <c r="B20" s="181" t="s">
        <v>530</v>
      </c>
      <c r="C20" s="59">
        <f t="shared" si="1"/>
        <v>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117"/>
      <c r="Q20" s="117"/>
    </row>
    <row r="21" spans="1:19" ht="47.25" x14ac:dyDescent="0.2">
      <c r="A21" s="58" t="s">
        <v>245</v>
      </c>
      <c r="B21" s="181" t="s">
        <v>531</v>
      </c>
      <c r="C21" s="59">
        <f t="shared" si="1"/>
        <v>0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17"/>
      <c r="Q21" s="117"/>
      <c r="S21" s="82">
        <f>O13+P13+F24+G23</f>
        <v>252200</v>
      </c>
    </row>
    <row r="22" spans="1:19" ht="15.75" x14ac:dyDescent="0.2">
      <c r="A22" s="58" t="s">
        <v>298</v>
      </c>
      <c r="B22" s="181" t="s">
        <v>532</v>
      </c>
      <c r="C22" s="59">
        <f t="shared" si="1"/>
        <v>473260.68</v>
      </c>
      <c r="D22" s="59">
        <f>'3.13.9 ст 226'!F18+'3.13.9 ст 226'!F70</f>
        <v>363500</v>
      </c>
      <c r="E22" s="59">
        <f>'3.13.9 ст 226'!F30</f>
        <v>95500</v>
      </c>
      <c r="F22" s="59"/>
      <c r="G22" s="59"/>
      <c r="H22" s="59">
        <f>'3.13.9 ст 226'!F41</f>
        <v>14260</v>
      </c>
      <c r="I22" s="59">
        <f>'3.13.9 ст 226'!F79</f>
        <v>0</v>
      </c>
      <c r="J22" s="59"/>
      <c r="K22" s="59"/>
      <c r="L22" s="59"/>
      <c r="M22" s="59">
        <f>'3.13.9 ст 226'!F50</f>
        <v>0.68</v>
      </c>
      <c r="N22" s="59"/>
      <c r="O22" s="59">
        <f>'3.13.9 ст 226'!F59</f>
        <v>0</v>
      </c>
      <c r="P22" s="117"/>
      <c r="Q22" s="117"/>
    </row>
    <row r="23" spans="1:19" ht="31.5" x14ac:dyDescent="0.2">
      <c r="A23" s="58" t="s">
        <v>246</v>
      </c>
      <c r="B23" s="181" t="s">
        <v>533</v>
      </c>
      <c r="C23" s="59">
        <f>SUM(D23:Q23)</f>
        <v>20000</v>
      </c>
      <c r="D23" s="59"/>
      <c r="E23" s="59"/>
      <c r="F23" s="59"/>
      <c r="G23" s="59">
        <f>'3.13.10 ст 310'!I9</f>
        <v>20000</v>
      </c>
      <c r="H23" s="59"/>
      <c r="I23" s="59">
        <f>'3.13.10 ст 310'!I18</f>
        <v>0</v>
      </c>
      <c r="J23" s="59">
        <f>'3.13.10 ст 310'!I27</f>
        <v>0</v>
      </c>
      <c r="K23" s="59"/>
      <c r="L23" s="59"/>
      <c r="M23" s="59"/>
      <c r="N23" s="59">
        <f>'3.13.10 ст 310'!I55</f>
        <v>0</v>
      </c>
      <c r="O23" s="59">
        <f>'3.13.10 ст 310'!I67</f>
        <v>0</v>
      </c>
      <c r="P23" s="164">
        <f>'3.13.10 ст 310'!I78</f>
        <v>0</v>
      </c>
      <c r="Q23" s="117"/>
    </row>
    <row r="24" spans="1:19" ht="31.5" x14ac:dyDescent="0.2">
      <c r="A24" s="58" t="s">
        <v>247</v>
      </c>
      <c r="B24" s="181" t="s">
        <v>504</v>
      </c>
      <c r="C24" s="59">
        <f>SUM(D24:Q24)</f>
        <v>4141200.7199999997</v>
      </c>
      <c r="D24" s="59">
        <f>'3.13.11 ст 340'!I18+'3.13.11 ст 340'!I27</f>
        <v>1910710.72</v>
      </c>
      <c r="E24" s="59">
        <f>'3.13.11 ст 340'!I39</f>
        <v>36790</v>
      </c>
      <c r="F24" s="59">
        <f>'3.13.11 ст 340'!I75</f>
        <v>232200</v>
      </c>
      <c r="G24" s="59"/>
      <c r="H24" s="59">
        <f>'3.13.11 ст 340'!I48</f>
        <v>0</v>
      </c>
      <c r="I24" s="59">
        <f>'3.13.11 ст 340'!I57</f>
        <v>0</v>
      </c>
      <c r="J24" s="59"/>
      <c r="K24" s="59">
        <f>'3.13.11 ст 340'!I66</f>
        <v>1961500</v>
      </c>
      <c r="L24" s="59">
        <f>'3.13.11 ст 340'!I84</f>
        <v>0</v>
      </c>
      <c r="M24" s="59"/>
      <c r="N24" s="59">
        <f>'3.13.11 ст 340'!I93</f>
        <v>0</v>
      </c>
      <c r="O24" s="59">
        <f>'3.13.11 ст 340'!I104</f>
        <v>0</v>
      </c>
      <c r="P24" s="164"/>
      <c r="Q24" s="164">
        <f>'3.13.11 ст 340'!I115</f>
        <v>0</v>
      </c>
    </row>
    <row r="25" spans="1:19" ht="76.5" x14ac:dyDescent="0.2">
      <c r="A25" s="6" t="s">
        <v>248</v>
      </c>
      <c r="B25" s="181" t="s">
        <v>508</v>
      </c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17"/>
      <c r="Q25" s="117"/>
    </row>
    <row r="26" spans="1:19" ht="51" x14ac:dyDescent="0.2">
      <c r="A26" s="6" t="s">
        <v>249</v>
      </c>
      <c r="B26" s="181" t="s">
        <v>509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17"/>
      <c r="Q26" s="117"/>
    </row>
    <row r="27" spans="1:19" ht="38.25" x14ac:dyDescent="0.2">
      <c r="A27" s="6" t="s">
        <v>250</v>
      </c>
      <c r="B27" s="181" t="s">
        <v>510</v>
      </c>
      <c r="C27" s="28">
        <f>C11-C12+C13-C25+C26</f>
        <v>7383090.6799999997</v>
      </c>
      <c r="D27" s="28">
        <f t="shared" ref="D27:P27" si="2">D11-D12+D13-D25+D26</f>
        <v>4974400</v>
      </c>
      <c r="E27" s="28">
        <f t="shared" si="2"/>
        <v>154730</v>
      </c>
      <c r="F27" s="28">
        <f t="shared" si="2"/>
        <v>232200</v>
      </c>
      <c r="G27" s="28">
        <f t="shared" si="2"/>
        <v>20000</v>
      </c>
      <c r="H27" s="28">
        <f t="shared" si="2"/>
        <v>40260</v>
      </c>
      <c r="I27" s="28">
        <f t="shared" si="2"/>
        <v>0</v>
      </c>
      <c r="J27" s="28">
        <f t="shared" si="2"/>
        <v>0</v>
      </c>
      <c r="K27" s="28">
        <f t="shared" si="2"/>
        <v>1961500</v>
      </c>
      <c r="L27" s="28">
        <f t="shared" si="2"/>
        <v>0</v>
      </c>
      <c r="M27" s="28">
        <f t="shared" si="2"/>
        <v>0.68</v>
      </c>
      <c r="N27" s="28">
        <f t="shared" si="2"/>
        <v>0</v>
      </c>
      <c r="O27" s="28">
        <f t="shared" si="2"/>
        <v>0</v>
      </c>
      <c r="P27" s="28">
        <f t="shared" si="2"/>
        <v>0</v>
      </c>
      <c r="Q27" s="117"/>
    </row>
    <row r="30" spans="1:19" ht="14.25" x14ac:dyDescent="0.2">
      <c r="A30" s="268" t="s">
        <v>0</v>
      </c>
      <c r="B30" s="268" t="s">
        <v>1</v>
      </c>
      <c r="C30" s="273" t="s">
        <v>115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</row>
    <row r="31" spans="1:19" ht="14.25" x14ac:dyDescent="0.2">
      <c r="A31" s="269"/>
      <c r="B31" s="269"/>
      <c r="C31" s="271" t="s">
        <v>592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</row>
    <row r="32" spans="1:19" ht="12.75" customHeight="1" x14ac:dyDescent="0.2">
      <c r="A32" s="269"/>
      <c r="B32" s="269"/>
      <c r="C32" s="271" t="s">
        <v>75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</row>
    <row r="33" spans="1:15" ht="85.5" x14ac:dyDescent="0.2">
      <c r="A33" s="270"/>
      <c r="B33" s="270"/>
      <c r="C33" s="57" t="s">
        <v>288</v>
      </c>
      <c r="D33" s="57" t="s">
        <v>397</v>
      </c>
      <c r="E33" s="57" t="s">
        <v>398</v>
      </c>
      <c r="F33" s="57" t="s">
        <v>399</v>
      </c>
      <c r="G33" s="57" t="s">
        <v>400</v>
      </c>
      <c r="H33" s="57" t="s">
        <v>401</v>
      </c>
      <c r="I33" s="57" t="s">
        <v>402</v>
      </c>
      <c r="J33" s="57" t="s">
        <v>403</v>
      </c>
      <c r="K33" s="57" t="s">
        <v>404</v>
      </c>
      <c r="L33" s="57" t="s">
        <v>405</v>
      </c>
      <c r="M33" s="57" t="s">
        <v>406</v>
      </c>
      <c r="N33" s="57" t="s">
        <v>407</v>
      </c>
      <c r="O33" s="57" t="s">
        <v>426</v>
      </c>
    </row>
    <row r="34" spans="1:15" x14ac:dyDescent="0.2">
      <c r="A34" s="2">
        <v>1</v>
      </c>
      <c r="B34" s="2">
        <v>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76.5" x14ac:dyDescent="0.2">
      <c r="A35" s="6" t="s">
        <v>236</v>
      </c>
      <c r="B35" s="181" t="s">
        <v>501</v>
      </c>
      <c r="C35" s="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51" x14ac:dyDescent="0.2">
      <c r="A36" s="6" t="s">
        <v>237</v>
      </c>
      <c r="B36" s="181" t="s">
        <v>502</v>
      </c>
      <c r="C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31.5" x14ac:dyDescent="0.2">
      <c r="A37" s="58" t="s">
        <v>238</v>
      </c>
      <c r="B37" s="181" t="s">
        <v>503</v>
      </c>
      <c r="C37" s="60">
        <f>SUM(D37:O37)</f>
        <v>7383090</v>
      </c>
      <c r="D37" s="61">
        <f>SUM(D38:D48)</f>
        <v>4974400</v>
      </c>
      <c r="E37" s="61">
        <f t="shared" ref="E37:O37" si="3">SUM(E38:E48)</f>
        <v>154730</v>
      </c>
      <c r="F37" s="61">
        <f t="shared" si="3"/>
        <v>232200</v>
      </c>
      <c r="G37" s="61">
        <f t="shared" si="3"/>
        <v>20000</v>
      </c>
      <c r="H37" s="61">
        <f t="shared" si="3"/>
        <v>40260</v>
      </c>
      <c r="I37" s="61">
        <f t="shared" si="3"/>
        <v>0</v>
      </c>
      <c r="J37" s="61"/>
      <c r="K37" s="61">
        <f t="shared" si="3"/>
        <v>1961500</v>
      </c>
      <c r="L37" s="61"/>
      <c r="M37" s="61">
        <f t="shared" si="3"/>
        <v>0</v>
      </c>
      <c r="N37" s="61">
        <f t="shared" si="3"/>
        <v>0</v>
      </c>
      <c r="O37" s="61">
        <f t="shared" si="3"/>
        <v>0</v>
      </c>
    </row>
    <row r="38" spans="1:15" ht="15" customHeight="1" x14ac:dyDescent="0.2">
      <c r="A38" s="58" t="s">
        <v>15</v>
      </c>
      <c r="B38" s="275" t="s">
        <v>525</v>
      </c>
      <c r="C38" s="278">
        <f>SUM(D38:O39)</f>
        <v>48440</v>
      </c>
      <c r="D38" s="278"/>
      <c r="E38" s="278">
        <f>'3.13.2 связь'!L8</f>
        <v>22440</v>
      </c>
      <c r="F38" s="278"/>
      <c r="G38" s="278"/>
      <c r="H38" s="278">
        <f>'3.13.2 связь'!M9</f>
        <v>26000</v>
      </c>
      <c r="I38" s="278"/>
      <c r="J38" s="283"/>
      <c r="K38" s="278"/>
      <c r="L38" s="283"/>
      <c r="M38" s="278"/>
      <c r="N38" s="278"/>
      <c r="O38" s="278"/>
    </row>
    <row r="39" spans="1:15" ht="15.75" x14ac:dyDescent="0.2">
      <c r="A39" s="58" t="s">
        <v>239</v>
      </c>
      <c r="B39" s="276"/>
      <c r="C39" s="279"/>
      <c r="D39" s="279"/>
      <c r="E39" s="279"/>
      <c r="F39" s="279"/>
      <c r="G39" s="279"/>
      <c r="H39" s="279"/>
      <c r="I39" s="279"/>
      <c r="J39" s="284"/>
      <c r="K39" s="279"/>
      <c r="L39" s="284"/>
      <c r="M39" s="279"/>
      <c r="N39" s="279"/>
      <c r="O39" s="279"/>
    </row>
    <row r="40" spans="1:15" ht="15.75" x14ac:dyDescent="0.2">
      <c r="A40" s="58" t="s">
        <v>240</v>
      </c>
      <c r="B40" s="181" t="s">
        <v>526</v>
      </c>
      <c r="C40" s="60">
        <v>0</v>
      </c>
      <c r="D40" s="61"/>
      <c r="E40" s="61">
        <v>0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1:15" ht="15.75" x14ac:dyDescent="0.2">
      <c r="A41" s="58" t="s">
        <v>241</v>
      </c>
      <c r="B41" s="181" t="s">
        <v>527</v>
      </c>
      <c r="C41" s="60">
        <f>SUM(D41:O41)</f>
        <v>2100300</v>
      </c>
      <c r="D41" s="61">
        <f>'3.13.4 ЖКС'!J24</f>
        <v>2100300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ht="15.75" x14ac:dyDescent="0.2">
      <c r="A42" s="58" t="s">
        <v>242</v>
      </c>
      <c r="B42" s="181" t="s">
        <v>528</v>
      </c>
      <c r="C42" s="60">
        <v>0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15" ht="15.75" x14ac:dyDescent="0.2">
      <c r="A43" s="58" t="s">
        <v>243</v>
      </c>
      <c r="B43" s="181" t="s">
        <v>529</v>
      </c>
      <c r="C43" s="60">
        <f>SUM(D43:O43)</f>
        <v>599889.28</v>
      </c>
      <c r="D43" s="61">
        <f>'3.13.6 ст 225'!J26</f>
        <v>599889.28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>
        <v>0</v>
      </c>
    </row>
    <row r="44" spans="1:15" ht="15.75" x14ac:dyDescent="0.2">
      <c r="A44" s="58" t="s">
        <v>244</v>
      </c>
      <c r="B44" s="181" t="s">
        <v>530</v>
      </c>
      <c r="C44" s="60">
        <v>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5" ht="47.25" x14ac:dyDescent="0.2">
      <c r="A45" s="58" t="s">
        <v>245</v>
      </c>
      <c r="B45" s="181" t="s">
        <v>531</v>
      </c>
      <c r="C45" s="60">
        <v>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ht="15.75" x14ac:dyDescent="0.2">
      <c r="A46" s="58" t="s">
        <v>298</v>
      </c>
      <c r="B46" s="181" t="s">
        <v>532</v>
      </c>
      <c r="C46" s="60">
        <f>SUM(D46:O46)</f>
        <v>473260</v>
      </c>
      <c r="D46" s="61">
        <f>'3.13.9 ст 226'!G18</f>
        <v>363500</v>
      </c>
      <c r="E46" s="61">
        <f>'3.13.9 ст 226'!G30</f>
        <v>95500</v>
      </c>
      <c r="F46" s="61"/>
      <c r="G46" s="61"/>
      <c r="H46" s="61">
        <f>'3.13.9 ст 226'!G41</f>
        <v>14260</v>
      </c>
      <c r="I46" s="61">
        <f>'3.13.6 ст 225'!J47</f>
        <v>0</v>
      </c>
      <c r="J46" s="61"/>
      <c r="K46" s="61"/>
      <c r="L46" s="61"/>
      <c r="M46" s="61">
        <v>0</v>
      </c>
      <c r="N46" s="61">
        <v>0</v>
      </c>
      <c r="O46" s="61"/>
    </row>
    <row r="47" spans="1:15" ht="31.5" x14ac:dyDescent="0.2">
      <c r="A47" s="58" t="s">
        <v>246</v>
      </c>
      <c r="B47" s="181" t="s">
        <v>533</v>
      </c>
      <c r="C47" s="60">
        <f>SUM(D47:O47)</f>
        <v>20000</v>
      </c>
      <c r="D47" s="61"/>
      <c r="E47" s="61"/>
      <c r="F47" s="61"/>
      <c r="G47" s="61">
        <f>'3.13.10 ст 310'!J9</f>
        <v>20000</v>
      </c>
      <c r="H47" s="61"/>
      <c r="I47" s="61">
        <f>'3.13.10 ст 310'!J18</f>
        <v>0</v>
      </c>
      <c r="J47" s="61"/>
      <c r="K47" s="61"/>
      <c r="L47" s="61"/>
      <c r="M47" s="61"/>
      <c r="N47" s="61"/>
      <c r="O47" s="61">
        <f>'3.13.10 ст 310'!J36</f>
        <v>0</v>
      </c>
    </row>
    <row r="48" spans="1:15" ht="31.5" customHeight="1" x14ac:dyDescent="0.2">
      <c r="A48" s="58" t="s">
        <v>247</v>
      </c>
      <c r="B48" s="181" t="s">
        <v>504</v>
      </c>
      <c r="C48" s="60">
        <f>SUM(D48:O48)</f>
        <v>4141200.7199999997</v>
      </c>
      <c r="D48" s="61">
        <f>'3.13.11 ст 340'!J18+'3.13.11 ст 340'!J27</f>
        <v>1910710.72</v>
      </c>
      <c r="E48" s="61">
        <f>'3.13.11 ст 340'!J39</f>
        <v>36790</v>
      </c>
      <c r="F48" s="61">
        <f>'3.13.11 ст 340'!J75</f>
        <v>232200</v>
      </c>
      <c r="G48" s="61"/>
      <c r="H48" s="61">
        <f>'3.13.11 ст 340'!J48</f>
        <v>0</v>
      </c>
      <c r="I48" s="61">
        <f>'3.13.11 ст 340'!J57</f>
        <v>0</v>
      </c>
      <c r="J48" s="61"/>
      <c r="K48" s="61">
        <f>'3.13.11 ст 340'!J66</f>
        <v>1961500</v>
      </c>
      <c r="L48" s="61"/>
      <c r="M48" s="61"/>
      <c r="N48" s="61">
        <v>0</v>
      </c>
      <c r="O48" s="61"/>
    </row>
    <row r="49" spans="1:15" ht="76.5" x14ac:dyDescent="0.2">
      <c r="A49" s="6" t="s">
        <v>248</v>
      </c>
      <c r="B49" s="181" t="s">
        <v>508</v>
      </c>
      <c r="C49" s="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51" x14ac:dyDescent="0.2">
      <c r="A50" s="6" t="s">
        <v>249</v>
      </c>
      <c r="B50" s="181" t="s">
        <v>509</v>
      </c>
      <c r="C50" s="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38.25" x14ac:dyDescent="0.2">
      <c r="A51" s="6" t="s">
        <v>250</v>
      </c>
      <c r="B51" s="181" t="s">
        <v>510</v>
      </c>
      <c r="C51" s="7">
        <f>C35-C36+C37-C49+C50</f>
        <v>7383090</v>
      </c>
      <c r="D51" s="7">
        <f t="shared" ref="D51:O51" si="4">D35-D36+D37-D49+D50</f>
        <v>4974400</v>
      </c>
      <c r="E51" s="7">
        <f t="shared" si="4"/>
        <v>154730</v>
      </c>
      <c r="F51" s="7">
        <f t="shared" si="4"/>
        <v>232200</v>
      </c>
      <c r="G51" s="7">
        <f t="shared" si="4"/>
        <v>20000</v>
      </c>
      <c r="H51" s="7">
        <f t="shared" si="4"/>
        <v>40260</v>
      </c>
      <c r="I51" s="7">
        <f t="shared" si="4"/>
        <v>0</v>
      </c>
      <c r="J51" s="7">
        <f t="shared" si="4"/>
        <v>0</v>
      </c>
      <c r="K51" s="7">
        <f t="shared" si="4"/>
        <v>1961500</v>
      </c>
      <c r="L51" s="7">
        <f t="shared" si="4"/>
        <v>0</v>
      </c>
      <c r="M51" s="7">
        <f t="shared" si="4"/>
        <v>0</v>
      </c>
      <c r="N51" s="7">
        <f t="shared" si="4"/>
        <v>0</v>
      </c>
      <c r="O51" s="7">
        <f t="shared" si="4"/>
        <v>0</v>
      </c>
    </row>
    <row r="54" spans="1:15" ht="14.25" x14ac:dyDescent="0.2">
      <c r="A54" s="268" t="s">
        <v>0</v>
      </c>
      <c r="B54" s="268" t="s">
        <v>1</v>
      </c>
      <c r="C54" s="273" t="s">
        <v>115</v>
      </c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</row>
    <row r="55" spans="1:15" ht="14.25" x14ac:dyDescent="0.2">
      <c r="A55" s="269"/>
      <c r="B55" s="269"/>
      <c r="C55" s="271" t="s">
        <v>593</v>
      </c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</row>
    <row r="56" spans="1:15" ht="12.75" customHeight="1" x14ac:dyDescent="0.2">
      <c r="A56" s="269"/>
      <c r="B56" s="269"/>
      <c r="C56" s="271" t="s">
        <v>75</v>
      </c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</row>
    <row r="57" spans="1:15" ht="85.5" x14ac:dyDescent="0.2">
      <c r="A57" s="270"/>
      <c r="B57" s="270"/>
      <c r="C57" s="57" t="s">
        <v>288</v>
      </c>
      <c r="D57" s="57" t="s">
        <v>397</v>
      </c>
      <c r="E57" s="57" t="s">
        <v>398</v>
      </c>
      <c r="F57" s="57" t="s">
        <v>399</v>
      </c>
      <c r="G57" s="57" t="s">
        <v>400</v>
      </c>
      <c r="H57" s="57" t="s">
        <v>401</v>
      </c>
      <c r="I57" s="57" t="s">
        <v>402</v>
      </c>
      <c r="J57" s="57" t="s">
        <v>403</v>
      </c>
      <c r="K57" s="57" t="s">
        <v>404</v>
      </c>
      <c r="L57" s="57" t="s">
        <v>405</v>
      </c>
      <c r="M57" s="57" t="s">
        <v>406</v>
      </c>
      <c r="N57" s="57" t="s">
        <v>407</v>
      </c>
      <c r="O57" s="57" t="s">
        <v>426</v>
      </c>
    </row>
    <row r="58" spans="1:15" x14ac:dyDescent="0.2">
      <c r="A58" s="2">
        <v>1</v>
      </c>
      <c r="B58" s="2">
        <v>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76.5" x14ac:dyDescent="0.2">
      <c r="A59" s="6" t="s">
        <v>236</v>
      </c>
      <c r="B59" s="181" t="s">
        <v>501</v>
      </c>
      <c r="C59" s="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51" x14ac:dyDescent="0.2">
      <c r="A60" s="6" t="s">
        <v>237</v>
      </c>
      <c r="B60" s="181" t="s">
        <v>502</v>
      </c>
      <c r="C60" s="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31.5" x14ac:dyDescent="0.2">
      <c r="A61" s="58" t="s">
        <v>238</v>
      </c>
      <c r="B61" s="181" t="s">
        <v>503</v>
      </c>
      <c r="C61" s="60">
        <f>SUM(D61:O61)</f>
        <v>7383090</v>
      </c>
      <c r="D61" s="61">
        <f>SUM(D62:D72)</f>
        <v>4974400</v>
      </c>
      <c r="E61" s="61">
        <f t="shared" ref="E61:O61" si="5">SUM(E62:E72)</f>
        <v>154730</v>
      </c>
      <c r="F61" s="61">
        <f t="shared" si="5"/>
        <v>232200</v>
      </c>
      <c r="G61" s="61">
        <f t="shared" si="5"/>
        <v>20000</v>
      </c>
      <c r="H61" s="61">
        <f t="shared" si="5"/>
        <v>40260</v>
      </c>
      <c r="I61" s="61">
        <f>SUM(I62:I72)</f>
        <v>0</v>
      </c>
      <c r="J61" s="61"/>
      <c r="K61" s="61">
        <f t="shared" si="5"/>
        <v>1961500</v>
      </c>
      <c r="L61" s="61"/>
      <c r="M61" s="61">
        <f t="shared" si="5"/>
        <v>0</v>
      </c>
      <c r="N61" s="61">
        <f t="shared" si="5"/>
        <v>0</v>
      </c>
      <c r="O61" s="61">
        <f t="shared" si="5"/>
        <v>0</v>
      </c>
    </row>
    <row r="62" spans="1:15" ht="15" customHeight="1" x14ac:dyDescent="0.2">
      <c r="A62" s="58" t="s">
        <v>15</v>
      </c>
      <c r="B62" s="275" t="s">
        <v>525</v>
      </c>
      <c r="C62" s="278">
        <v>50400</v>
      </c>
      <c r="D62" s="278"/>
      <c r="E62" s="278">
        <f>'3.13.2 связь'!L8</f>
        <v>22440</v>
      </c>
      <c r="F62" s="278"/>
      <c r="G62" s="278"/>
      <c r="H62" s="278">
        <f>'3.13.2 связь'!N9</f>
        <v>26000</v>
      </c>
      <c r="I62" s="278"/>
      <c r="J62" s="278"/>
      <c r="K62" s="278"/>
      <c r="L62" s="278"/>
      <c r="M62" s="278"/>
      <c r="N62" s="278"/>
      <c r="O62" s="278"/>
    </row>
    <row r="63" spans="1:15" ht="15.75" x14ac:dyDescent="0.2">
      <c r="A63" s="58" t="s">
        <v>239</v>
      </c>
      <c r="B63" s="276"/>
      <c r="C63" s="279"/>
      <c r="D63" s="279"/>
      <c r="E63" s="279"/>
      <c r="F63" s="279"/>
      <c r="G63" s="279"/>
      <c r="H63" s="279"/>
      <c r="I63" s="279"/>
      <c r="J63" s="209"/>
      <c r="K63" s="279"/>
      <c r="L63" s="209"/>
      <c r="M63" s="279"/>
      <c r="N63" s="279"/>
      <c r="O63" s="279"/>
    </row>
    <row r="64" spans="1:15" ht="15.75" x14ac:dyDescent="0.2">
      <c r="A64" s="58" t="s">
        <v>240</v>
      </c>
      <c r="B64" s="181" t="s">
        <v>526</v>
      </c>
      <c r="C64" s="60">
        <v>0</v>
      </c>
      <c r="D64" s="61"/>
      <c r="E64" s="61">
        <v>0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1:15" ht="15.75" x14ac:dyDescent="0.2">
      <c r="A65" s="58" t="s">
        <v>241</v>
      </c>
      <c r="B65" s="181" t="s">
        <v>527</v>
      </c>
      <c r="C65" s="60">
        <v>1772000</v>
      </c>
      <c r="D65" s="61">
        <f>'3.13.4 ЖКС'!K24</f>
        <v>2100300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1:15" ht="15.75" x14ac:dyDescent="0.2">
      <c r="A66" s="58" t="s">
        <v>242</v>
      </c>
      <c r="B66" s="181" t="s">
        <v>528</v>
      </c>
      <c r="C66" s="60">
        <v>0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 ht="15.75" x14ac:dyDescent="0.2">
      <c r="A67" s="58" t="s">
        <v>243</v>
      </c>
      <c r="B67" s="181" t="s">
        <v>529</v>
      </c>
      <c r="C67" s="60">
        <f t="shared" ref="C67:C72" si="6">SUM(D67:O67)</f>
        <v>599889.28</v>
      </c>
      <c r="D67" s="61">
        <f>'3.13.6 ст 225'!K26</f>
        <v>599889.28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>
        <v>0</v>
      </c>
    </row>
    <row r="68" spans="1:15" ht="15.75" x14ac:dyDescent="0.2">
      <c r="A68" s="58" t="s">
        <v>244</v>
      </c>
      <c r="B68" s="181" t="s">
        <v>530</v>
      </c>
      <c r="C68" s="60">
        <f t="shared" si="6"/>
        <v>0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1:15" ht="47.25" x14ac:dyDescent="0.2">
      <c r="A69" s="58" t="s">
        <v>245</v>
      </c>
      <c r="B69" s="181" t="s">
        <v>531</v>
      </c>
      <c r="C69" s="60">
        <f t="shared" si="6"/>
        <v>0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1:15" ht="15.75" x14ac:dyDescent="0.2">
      <c r="A70" s="58" t="s">
        <v>298</v>
      </c>
      <c r="B70" s="181" t="s">
        <v>532</v>
      </c>
      <c r="C70" s="60">
        <f t="shared" si="6"/>
        <v>473260</v>
      </c>
      <c r="D70" s="61">
        <f>'3.13.9 ст 226'!H18</f>
        <v>363500</v>
      </c>
      <c r="E70" s="61">
        <f>'3.13.9 ст 226'!H30</f>
        <v>95500</v>
      </c>
      <c r="F70" s="61"/>
      <c r="G70" s="61"/>
      <c r="H70" s="61">
        <f>'3.13.9 ст 226'!H41</f>
        <v>14260</v>
      </c>
      <c r="I70" s="61">
        <f>'3.13.6 ст 225'!K47</f>
        <v>0</v>
      </c>
      <c r="J70" s="61"/>
      <c r="K70" s="61"/>
      <c r="L70" s="61"/>
      <c r="M70" s="61">
        <v>0</v>
      </c>
      <c r="N70" s="61">
        <v>0</v>
      </c>
      <c r="O70" s="61"/>
    </row>
    <row r="71" spans="1:15" ht="31.5" x14ac:dyDescent="0.2">
      <c r="A71" s="58" t="s">
        <v>246</v>
      </c>
      <c r="B71" s="181" t="s">
        <v>533</v>
      </c>
      <c r="C71" s="60">
        <f t="shared" si="6"/>
        <v>20000</v>
      </c>
      <c r="D71" s="61"/>
      <c r="E71" s="61"/>
      <c r="F71" s="61"/>
      <c r="G71" s="61">
        <f>'3.13.10 ст 310'!K9</f>
        <v>20000</v>
      </c>
      <c r="H71" s="61"/>
      <c r="I71" s="61">
        <f>'3.13.10 ст 310'!K18</f>
        <v>0</v>
      </c>
      <c r="J71" s="61"/>
      <c r="K71" s="61"/>
      <c r="L71" s="61"/>
      <c r="M71" s="61"/>
      <c r="N71" s="61"/>
      <c r="O71" s="61">
        <f>'3.13.10 ст 310'!K36</f>
        <v>0</v>
      </c>
    </row>
    <row r="72" spans="1:15" ht="31.5" x14ac:dyDescent="0.2">
      <c r="A72" s="58" t="s">
        <v>247</v>
      </c>
      <c r="B72" s="181" t="s">
        <v>504</v>
      </c>
      <c r="C72" s="60">
        <f t="shared" si="6"/>
        <v>4141200.7199999997</v>
      </c>
      <c r="D72" s="61">
        <f>'3.13.11 ст 340'!K18+'3.13.11 ст 340'!K27</f>
        <v>1910710.72</v>
      </c>
      <c r="E72" s="61">
        <f>'3.13.11 ст 340'!K39</f>
        <v>36790</v>
      </c>
      <c r="F72" s="61">
        <f>'3.13.11 ст 340'!K75</f>
        <v>232200</v>
      </c>
      <c r="G72" s="61"/>
      <c r="H72" s="61">
        <f>'3.13.11 ст 340'!K48</f>
        <v>0</v>
      </c>
      <c r="I72" s="61">
        <f>'3.13.11 ст 340'!K57</f>
        <v>0</v>
      </c>
      <c r="J72" s="61"/>
      <c r="K72" s="61">
        <f>'3.13.11 ст 340'!K66</f>
        <v>1961500</v>
      </c>
      <c r="L72" s="61"/>
      <c r="M72" s="61"/>
      <c r="N72" s="61">
        <v>0</v>
      </c>
      <c r="O72" s="61"/>
    </row>
    <row r="73" spans="1:15" ht="76.5" x14ac:dyDescent="0.2">
      <c r="A73" s="6" t="s">
        <v>248</v>
      </c>
      <c r="B73" s="181" t="s">
        <v>508</v>
      </c>
      <c r="C73" s="2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51" x14ac:dyDescent="0.2">
      <c r="A74" s="6" t="s">
        <v>249</v>
      </c>
      <c r="B74" s="181" t="s">
        <v>509</v>
      </c>
      <c r="C74" s="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38.25" x14ac:dyDescent="0.2">
      <c r="A75" s="6" t="s">
        <v>250</v>
      </c>
      <c r="B75" s="181" t="s">
        <v>510</v>
      </c>
      <c r="C75" s="7">
        <f>C59-C60+C61-C73+C74</f>
        <v>7383090</v>
      </c>
      <c r="D75" s="7">
        <f t="shared" ref="D75:O75" si="7">D59-D60+D61-D73+D74</f>
        <v>4974400</v>
      </c>
      <c r="E75" s="7">
        <f t="shared" si="7"/>
        <v>154730</v>
      </c>
      <c r="F75" s="7">
        <f t="shared" si="7"/>
        <v>232200</v>
      </c>
      <c r="G75" s="7">
        <f t="shared" si="7"/>
        <v>20000</v>
      </c>
      <c r="H75" s="7">
        <f t="shared" si="7"/>
        <v>40260</v>
      </c>
      <c r="I75" s="7">
        <f t="shared" si="7"/>
        <v>0</v>
      </c>
      <c r="J75" s="7">
        <f t="shared" si="7"/>
        <v>0</v>
      </c>
      <c r="K75" s="7">
        <f t="shared" si="7"/>
        <v>1961500</v>
      </c>
      <c r="L75" s="7">
        <f t="shared" si="7"/>
        <v>0</v>
      </c>
      <c r="M75" s="7">
        <f t="shared" si="7"/>
        <v>0</v>
      </c>
      <c r="N75" s="7">
        <f t="shared" si="7"/>
        <v>0</v>
      </c>
      <c r="O75" s="7">
        <f t="shared" si="7"/>
        <v>0</v>
      </c>
    </row>
  </sheetData>
  <mergeCells count="61">
    <mergeCell ref="O38:O39"/>
    <mergeCell ref="J38:J39"/>
    <mergeCell ref="L38:L39"/>
    <mergeCell ref="K14:K15"/>
    <mergeCell ref="G62:G63"/>
    <mergeCell ref="H62:H63"/>
    <mergeCell ref="G38:G39"/>
    <mergeCell ref="H38:H39"/>
    <mergeCell ref="L14:L15"/>
    <mergeCell ref="P14:P15"/>
    <mergeCell ref="I62:I63"/>
    <mergeCell ref="K62:K63"/>
    <mergeCell ref="M62:M63"/>
    <mergeCell ref="O62:O63"/>
    <mergeCell ref="N38:N39"/>
    <mergeCell ref="N62:N63"/>
    <mergeCell ref="I38:I39"/>
    <mergeCell ref="K38:K39"/>
    <mergeCell ref="J62:J63"/>
    <mergeCell ref="L62:L63"/>
    <mergeCell ref="M38:M39"/>
    <mergeCell ref="I14:I15"/>
    <mergeCell ref="M14:M15"/>
    <mergeCell ref="O14:O15"/>
    <mergeCell ref="J14:J15"/>
    <mergeCell ref="C38:C39"/>
    <mergeCell ref="B38:B39"/>
    <mergeCell ref="D38:D39"/>
    <mergeCell ref="E38:E39"/>
    <mergeCell ref="F38:F39"/>
    <mergeCell ref="B62:B63"/>
    <mergeCell ref="C62:C63"/>
    <mergeCell ref="D62:D63"/>
    <mergeCell ref="E62:E63"/>
    <mergeCell ref="F62:F63"/>
    <mergeCell ref="A54:A57"/>
    <mergeCell ref="B54:B57"/>
    <mergeCell ref="C54:O54"/>
    <mergeCell ref="C55:O55"/>
    <mergeCell ref="C56:O56"/>
    <mergeCell ref="A30:A33"/>
    <mergeCell ref="B30:B33"/>
    <mergeCell ref="C30:O30"/>
    <mergeCell ref="C31:O31"/>
    <mergeCell ref="C32:O32"/>
    <mergeCell ref="Q14:Q15"/>
    <mergeCell ref="E14:E15"/>
    <mergeCell ref="N14:N15"/>
    <mergeCell ref="A1:O1"/>
    <mergeCell ref="A3:O3"/>
    <mergeCell ref="A6:A9"/>
    <mergeCell ref="B6:B9"/>
    <mergeCell ref="C8:O8"/>
    <mergeCell ref="C6:O6"/>
    <mergeCell ref="C7:O7"/>
    <mergeCell ref="B14:B15"/>
    <mergeCell ref="C14:C15"/>
    <mergeCell ref="D14:D15"/>
    <mergeCell ref="F14:F15"/>
    <mergeCell ref="G14:G15"/>
    <mergeCell ref="H14:H15"/>
  </mergeCells>
  <pageMargins left="0.39370078740157483" right="0.39370078740157483" top="0.39370078740157483" bottom="0.39370078740157483" header="0.31496062992125984" footer="0.31496062992125984"/>
  <pageSetup paperSize="9" scale="47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1"/>
  <sheetViews>
    <sheetView workbookViewId="0">
      <selection activeCell="C5" sqref="C5:E5"/>
    </sheetView>
  </sheetViews>
  <sheetFormatPr defaultRowHeight="12.75" x14ac:dyDescent="0.2"/>
  <cols>
    <col min="1" max="1" width="16" style="3" customWidth="1"/>
    <col min="2" max="2" width="9.140625" style="3"/>
    <col min="3" max="14" width="13.85546875" style="3" customWidth="1"/>
    <col min="15" max="16384" width="9.140625" style="3"/>
  </cols>
  <sheetData>
    <row r="1" spans="1:14" ht="15.75" x14ac:dyDescent="0.25">
      <c r="A1" s="46" t="s">
        <v>256</v>
      </c>
      <c r="B1" s="46"/>
      <c r="C1" s="46"/>
      <c r="D1" s="46"/>
      <c r="E1" s="46"/>
      <c r="F1" s="46"/>
      <c r="G1" s="46"/>
    </row>
    <row r="2" spans="1:14" ht="15.75" x14ac:dyDescent="0.25">
      <c r="A2" s="46"/>
      <c r="B2" s="46"/>
      <c r="C2" s="46"/>
      <c r="D2" s="46"/>
      <c r="E2" s="46"/>
      <c r="F2" s="46"/>
      <c r="G2" s="46"/>
    </row>
    <row r="4" spans="1:14" ht="33" customHeight="1" x14ac:dyDescent="0.2">
      <c r="A4" s="241" t="s">
        <v>216</v>
      </c>
      <c r="B4" s="241" t="s">
        <v>1</v>
      </c>
      <c r="C4" s="247" t="s">
        <v>253</v>
      </c>
      <c r="D4" s="247"/>
      <c r="E4" s="247"/>
      <c r="F4" s="247" t="s">
        <v>254</v>
      </c>
      <c r="G4" s="247"/>
      <c r="H4" s="247"/>
      <c r="I4" s="247" t="s">
        <v>255</v>
      </c>
      <c r="J4" s="247"/>
      <c r="K4" s="247"/>
      <c r="L4" s="247" t="s">
        <v>115</v>
      </c>
      <c r="M4" s="247"/>
      <c r="N4" s="247"/>
    </row>
    <row r="5" spans="1:14" x14ac:dyDescent="0.2">
      <c r="A5" s="241"/>
      <c r="B5" s="241"/>
      <c r="C5" s="48" t="s">
        <v>418</v>
      </c>
      <c r="D5" s="48" t="s">
        <v>451</v>
      </c>
      <c r="E5" s="48" t="s">
        <v>590</v>
      </c>
      <c r="F5" s="204" t="s">
        <v>418</v>
      </c>
      <c r="G5" s="204" t="s">
        <v>451</v>
      </c>
      <c r="H5" s="204" t="s">
        <v>590</v>
      </c>
      <c r="I5" s="204" t="s">
        <v>418</v>
      </c>
      <c r="J5" s="204" t="s">
        <v>451</v>
      </c>
      <c r="K5" s="204" t="s">
        <v>590</v>
      </c>
      <c r="L5" s="204" t="s">
        <v>418</v>
      </c>
      <c r="M5" s="204" t="s">
        <v>451</v>
      </c>
      <c r="N5" s="204" t="s">
        <v>590</v>
      </c>
    </row>
    <row r="6" spans="1:14" ht="38.25" x14ac:dyDescent="0.2">
      <c r="A6" s="241"/>
      <c r="B6" s="241"/>
      <c r="C6" s="48" t="s">
        <v>75</v>
      </c>
      <c r="D6" s="48" t="s">
        <v>76</v>
      </c>
      <c r="E6" s="48" t="s">
        <v>77</v>
      </c>
      <c r="F6" s="48" t="s">
        <v>75</v>
      </c>
      <c r="G6" s="48" t="s">
        <v>76</v>
      </c>
      <c r="H6" s="48" t="s">
        <v>77</v>
      </c>
      <c r="I6" s="48" t="s">
        <v>75</v>
      </c>
      <c r="J6" s="48" t="s">
        <v>76</v>
      </c>
      <c r="K6" s="48" t="s">
        <v>77</v>
      </c>
      <c r="L6" s="48" t="s">
        <v>75</v>
      </c>
      <c r="M6" s="48" t="s">
        <v>76</v>
      </c>
      <c r="N6" s="48" t="s">
        <v>77</v>
      </c>
    </row>
    <row r="7" spans="1:14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ht="63.75" x14ac:dyDescent="0.2">
      <c r="A8" s="49" t="s">
        <v>395</v>
      </c>
      <c r="B8" s="181" t="s">
        <v>501</v>
      </c>
      <c r="C8" s="6">
        <v>1</v>
      </c>
      <c r="D8" s="6">
        <v>1</v>
      </c>
      <c r="E8" s="6">
        <v>1</v>
      </c>
      <c r="F8" s="6">
        <v>12</v>
      </c>
      <c r="G8" s="6">
        <v>12</v>
      </c>
      <c r="H8" s="6">
        <v>12</v>
      </c>
      <c r="I8" s="33">
        <f t="shared" ref="I8:K9" si="0">L8/F8</f>
        <v>1870</v>
      </c>
      <c r="J8" s="33">
        <f t="shared" si="0"/>
        <v>1870</v>
      </c>
      <c r="K8" s="33">
        <f t="shared" si="0"/>
        <v>1870</v>
      </c>
      <c r="L8" s="5">
        <v>22440</v>
      </c>
      <c r="M8" s="5">
        <v>22440</v>
      </c>
      <c r="N8" s="5">
        <f>M8</f>
        <v>22440</v>
      </c>
    </row>
    <row r="9" spans="1:14" ht="51" x14ac:dyDescent="0.2">
      <c r="A9" s="49" t="s">
        <v>396</v>
      </c>
      <c r="B9" s="181" t="s">
        <v>502</v>
      </c>
      <c r="C9" s="6">
        <v>2</v>
      </c>
      <c r="D9" s="6">
        <v>2</v>
      </c>
      <c r="E9" s="6">
        <v>2</v>
      </c>
      <c r="F9" s="6">
        <v>12</v>
      </c>
      <c r="G9" s="6">
        <v>12</v>
      </c>
      <c r="H9" s="6">
        <v>12</v>
      </c>
      <c r="I9" s="33">
        <f t="shared" si="0"/>
        <v>2166.6666666666665</v>
      </c>
      <c r="J9" s="33">
        <f t="shared" si="0"/>
        <v>2166.6666666666665</v>
      </c>
      <c r="K9" s="33">
        <f t="shared" si="0"/>
        <v>2166.6666666666665</v>
      </c>
      <c r="L9" s="5">
        <v>26000</v>
      </c>
      <c r="M9" s="5">
        <v>26000</v>
      </c>
      <c r="N9" s="5">
        <f>M9</f>
        <v>26000</v>
      </c>
    </row>
    <row r="10" spans="1:14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  <c r="M10" s="5"/>
      <c r="N10" s="5"/>
    </row>
    <row r="11" spans="1:14" x14ac:dyDescent="0.2">
      <c r="A11" s="49" t="s">
        <v>135</v>
      </c>
      <c r="B11" s="48">
        <v>9000</v>
      </c>
      <c r="C11" s="48" t="s">
        <v>12</v>
      </c>
      <c r="D11" s="48" t="s">
        <v>12</v>
      </c>
      <c r="E11" s="48" t="s">
        <v>12</v>
      </c>
      <c r="F11" s="48" t="s">
        <v>12</v>
      </c>
      <c r="G11" s="48" t="s">
        <v>12</v>
      </c>
      <c r="H11" s="48" t="s">
        <v>12</v>
      </c>
      <c r="I11" s="48" t="s">
        <v>12</v>
      </c>
      <c r="J11" s="48" t="s">
        <v>12</v>
      </c>
      <c r="K11" s="48" t="s">
        <v>12</v>
      </c>
      <c r="L11" s="50">
        <f>SUM(L8:L10)</f>
        <v>48440</v>
      </c>
      <c r="M11" s="50">
        <f t="shared" ref="M11:N11" si="1">SUM(M8:M10)</f>
        <v>48440</v>
      </c>
      <c r="N11" s="50">
        <f t="shared" si="1"/>
        <v>48440</v>
      </c>
    </row>
  </sheetData>
  <mergeCells count="6">
    <mergeCell ref="L4:N4"/>
    <mergeCell ref="A4:A6"/>
    <mergeCell ref="B4:B6"/>
    <mergeCell ref="C4:E4"/>
    <mergeCell ref="F4:H4"/>
    <mergeCell ref="I4:K4"/>
  </mergeCells>
  <pageMargins left="0.7" right="0.7" top="0.75" bottom="0.75" header="0.3" footer="0.3"/>
  <pageSetup paperSize="9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workbookViewId="0">
      <selection activeCell="I7" sqref="I7"/>
    </sheetView>
  </sheetViews>
  <sheetFormatPr defaultRowHeight="12.75" x14ac:dyDescent="0.2"/>
  <cols>
    <col min="1" max="1" width="16.5703125" style="3" customWidth="1"/>
    <col min="2" max="2" width="9.140625" style="3"/>
    <col min="3" max="11" width="15.7109375" style="3" customWidth="1"/>
    <col min="12" max="16384" width="9.140625" style="3"/>
  </cols>
  <sheetData>
    <row r="1" spans="1:11" x14ac:dyDescent="0.2">
      <c r="A1" s="3" t="s">
        <v>259</v>
      </c>
    </row>
    <row r="2" spans="1:11" ht="33" customHeight="1" x14ac:dyDescent="0.2">
      <c r="A2" s="241" t="s">
        <v>216</v>
      </c>
      <c r="B2" s="241" t="s">
        <v>1</v>
      </c>
      <c r="C2" s="241" t="s">
        <v>257</v>
      </c>
      <c r="D2" s="241"/>
      <c r="E2" s="241"/>
      <c r="F2" s="241" t="s">
        <v>258</v>
      </c>
      <c r="G2" s="241"/>
      <c r="H2" s="241"/>
      <c r="I2" s="241" t="s">
        <v>115</v>
      </c>
      <c r="J2" s="241"/>
      <c r="K2" s="241"/>
    </row>
    <row r="3" spans="1:11" x14ac:dyDescent="0.2">
      <c r="A3" s="241"/>
      <c r="B3" s="241"/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ht="38.25" x14ac:dyDescent="0.2">
      <c r="A4" s="241"/>
      <c r="B4" s="241"/>
      <c r="C4" s="2" t="s">
        <v>75</v>
      </c>
      <c r="D4" s="2" t="s">
        <v>76</v>
      </c>
      <c r="E4" s="2" t="s">
        <v>77</v>
      </c>
      <c r="F4" s="2" t="s">
        <v>75</v>
      </c>
      <c r="G4" s="2" t="s">
        <v>76</v>
      </c>
      <c r="H4" s="2" t="s">
        <v>77</v>
      </c>
      <c r="I4" s="2" t="s">
        <v>75</v>
      </c>
      <c r="J4" s="2" t="s">
        <v>76</v>
      </c>
      <c r="K4" s="2" t="s">
        <v>77</v>
      </c>
    </row>
    <row r="5" spans="1:1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38.25" x14ac:dyDescent="0.2">
      <c r="A6" s="6" t="s">
        <v>301</v>
      </c>
      <c r="B6" s="2">
        <v>1</v>
      </c>
      <c r="C6" s="6"/>
      <c r="D6" s="6"/>
      <c r="E6" s="6"/>
      <c r="F6" s="6"/>
      <c r="G6" s="6"/>
      <c r="H6" s="6"/>
      <c r="I6" s="5">
        <v>0</v>
      </c>
      <c r="J6" s="5"/>
      <c r="K6" s="5"/>
    </row>
    <row r="7" spans="1:11" x14ac:dyDescent="0.2">
      <c r="A7" s="6"/>
      <c r="B7" s="2">
        <v>2</v>
      </c>
      <c r="C7" s="6"/>
      <c r="D7" s="6"/>
      <c r="E7" s="6"/>
      <c r="F7" s="6"/>
      <c r="G7" s="6"/>
      <c r="H7" s="6"/>
      <c r="I7" s="5"/>
      <c r="J7" s="5"/>
      <c r="K7" s="5"/>
    </row>
    <row r="8" spans="1:11" x14ac:dyDescent="0.2">
      <c r="A8" s="6"/>
      <c r="B8" s="6"/>
      <c r="C8" s="6"/>
      <c r="D8" s="6"/>
      <c r="E8" s="6"/>
      <c r="F8" s="6"/>
      <c r="G8" s="6"/>
      <c r="H8" s="6"/>
      <c r="I8" s="5"/>
      <c r="J8" s="5"/>
      <c r="K8" s="5"/>
    </row>
    <row r="9" spans="1:11" x14ac:dyDescent="0.2">
      <c r="A9" s="6" t="s">
        <v>135</v>
      </c>
      <c r="B9" s="2">
        <v>9000</v>
      </c>
      <c r="C9" s="2" t="s">
        <v>12</v>
      </c>
      <c r="D9" s="2" t="s">
        <v>12</v>
      </c>
      <c r="E9" s="2" t="s">
        <v>12</v>
      </c>
      <c r="F9" s="2" t="s">
        <v>12</v>
      </c>
      <c r="G9" s="2" t="s">
        <v>12</v>
      </c>
      <c r="H9" s="2" t="s">
        <v>12</v>
      </c>
      <c r="I9" s="5">
        <f>SUM(I6:I8)</f>
        <v>0</v>
      </c>
      <c r="J9" s="5">
        <f t="shared" ref="J9:K9" si="0">SUM(J6:J8)</f>
        <v>0</v>
      </c>
      <c r="K9" s="5">
        <f t="shared" si="0"/>
        <v>0</v>
      </c>
    </row>
  </sheetData>
  <mergeCells count="5">
    <mergeCell ref="A2:A4"/>
    <mergeCell ref="B2:B4"/>
    <mergeCell ref="C2:E2"/>
    <mergeCell ref="F2:H2"/>
    <mergeCell ref="I2:K2"/>
  </mergeCells>
  <pageMargins left="0.7" right="0.7" top="0.75" bottom="0.75" header="0.3" footer="0.3"/>
  <pageSetup paperSize="9" scale="78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30"/>
  <sheetViews>
    <sheetView topLeftCell="A5" workbookViewId="0">
      <selection sqref="A1:K25"/>
    </sheetView>
  </sheetViews>
  <sheetFormatPr defaultRowHeight="12.75" x14ac:dyDescent="0.2"/>
  <cols>
    <col min="1" max="1" width="26.5703125" style="3" customWidth="1"/>
    <col min="2" max="2" width="9.140625" style="3"/>
    <col min="3" max="11" width="14.85546875" style="3" customWidth="1"/>
    <col min="12" max="16384" width="9.140625" style="3"/>
  </cols>
  <sheetData>
    <row r="1" spans="1:11" ht="15.75" x14ac:dyDescent="0.25">
      <c r="A1" s="46" t="s">
        <v>262</v>
      </c>
      <c r="B1" s="46"/>
      <c r="C1" s="46"/>
      <c r="D1" s="46"/>
      <c r="E1" s="46"/>
      <c r="F1" s="46"/>
    </row>
    <row r="2" spans="1:11" ht="15.75" x14ac:dyDescent="0.25">
      <c r="A2" s="46"/>
      <c r="B2" s="46"/>
      <c r="C2" s="46"/>
      <c r="D2" s="46"/>
      <c r="E2" s="46"/>
      <c r="F2" s="46"/>
    </row>
    <row r="3" spans="1:11" ht="15.75" x14ac:dyDescent="0.25">
      <c r="A3" s="46" t="s">
        <v>374</v>
      </c>
      <c r="B3" s="46" t="s">
        <v>375</v>
      </c>
      <c r="C3" s="46" t="s">
        <v>376</v>
      </c>
      <c r="D3" s="47">
        <v>621</v>
      </c>
    </row>
    <row r="4" spans="1:11" ht="33" customHeight="1" x14ac:dyDescent="0.2">
      <c r="A4" s="241" t="s">
        <v>216</v>
      </c>
      <c r="B4" s="241" t="s">
        <v>1</v>
      </c>
      <c r="C4" s="247" t="s">
        <v>260</v>
      </c>
      <c r="D4" s="247"/>
      <c r="E4" s="247"/>
      <c r="F4" s="247" t="s">
        <v>261</v>
      </c>
      <c r="G4" s="247"/>
      <c r="H4" s="247"/>
      <c r="I4" s="247" t="s">
        <v>115</v>
      </c>
      <c r="J4" s="247"/>
      <c r="K4" s="247"/>
    </row>
    <row r="5" spans="1:11" x14ac:dyDescent="0.2">
      <c r="A5" s="241"/>
      <c r="B5" s="241"/>
      <c r="C5" s="204" t="s">
        <v>418</v>
      </c>
      <c r="D5" s="204" t="s">
        <v>451</v>
      </c>
      <c r="E5" s="204" t="s">
        <v>590</v>
      </c>
      <c r="F5" s="204" t="s">
        <v>418</v>
      </c>
      <c r="G5" s="204" t="s">
        <v>451</v>
      </c>
      <c r="H5" s="204" t="s">
        <v>590</v>
      </c>
      <c r="I5" s="204" t="s">
        <v>418</v>
      </c>
      <c r="J5" s="204" t="s">
        <v>451</v>
      </c>
      <c r="K5" s="204" t="s">
        <v>590</v>
      </c>
    </row>
    <row r="6" spans="1:11" ht="38.25" x14ac:dyDescent="0.2">
      <c r="A6" s="241"/>
      <c r="B6" s="241"/>
      <c r="C6" s="48" t="s">
        <v>75</v>
      </c>
      <c r="D6" s="48" t="s">
        <v>76</v>
      </c>
      <c r="E6" s="48" t="s">
        <v>77</v>
      </c>
      <c r="F6" s="48" t="s">
        <v>75</v>
      </c>
      <c r="G6" s="48" t="s">
        <v>76</v>
      </c>
      <c r="H6" s="48" t="s">
        <v>77</v>
      </c>
      <c r="I6" s="48" t="s">
        <v>75</v>
      </c>
      <c r="J6" s="48" t="s">
        <v>76</v>
      </c>
      <c r="K6" s="48" t="s">
        <v>77</v>
      </c>
    </row>
    <row r="7" spans="1:1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38.25" x14ac:dyDescent="0.2">
      <c r="A8" s="6" t="s">
        <v>456</v>
      </c>
      <c r="B8" s="178" t="s">
        <v>486</v>
      </c>
      <c r="C8" s="33">
        <f>I8/F8</f>
        <v>335.70658418209842</v>
      </c>
      <c r="D8" s="33">
        <f>C8</f>
        <v>335.70658418209842</v>
      </c>
      <c r="E8" s="33">
        <f>D8</f>
        <v>335.70658418209842</v>
      </c>
      <c r="F8" s="6">
        <v>2445.71</v>
      </c>
      <c r="G8" s="6">
        <v>2445.71</v>
      </c>
      <c r="H8" s="6">
        <f>G8</f>
        <v>2445.71</v>
      </c>
      <c r="I8" s="5">
        <f>518563.47+252477.48+50000</f>
        <v>821040.95</v>
      </c>
      <c r="J8" s="5">
        <f>I8</f>
        <v>821040.95</v>
      </c>
      <c r="K8" s="5">
        <f t="shared" ref="K8:K17" si="0">J8</f>
        <v>821040.95</v>
      </c>
    </row>
    <row r="9" spans="1:11" ht="38.25" x14ac:dyDescent="0.2">
      <c r="A9" s="6" t="s">
        <v>457</v>
      </c>
      <c r="B9" s="178" t="s">
        <v>487</v>
      </c>
      <c r="C9" s="33">
        <f t="shared" ref="C9:C21" si="1">I9/F9</f>
        <v>156.79384718547988</v>
      </c>
      <c r="D9" s="33">
        <f t="shared" ref="D9:E9" si="2">C9</f>
        <v>156.79384718547988</v>
      </c>
      <c r="E9" s="33">
        <f t="shared" si="2"/>
        <v>156.79384718547988</v>
      </c>
      <c r="F9" s="6">
        <v>2445.71</v>
      </c>
      <c r="G9" s="6">
        <v>2445.71</v>
      </c>
      <c r="H9" s="6">
        <f t="shared" ref="H9" si="3">G9</f>
        <v>2445.71</v>
      </c>
      <c r="I9" s="5">
        <f>333472.28+50000</f>
        <v>383472.28</v>
      </c>
      <c r="J9" s="5">
        <f>I9</f>
        <v>383472.28</v>
      </c>
      <c r="K9" s="5">
        <f t="shared" si="0"/>
        <v>383472.28</v>
      </c>
    </row>
    <row r="10" spans="1:11" ht="25.5" x14ac:dyDescent="0.2">
      <c r="A10" s="6" t="s">
        <v>458</v>
      </c>
      <c r="B10" s="178" t="s">
        <v>488</v>
      </c>
      <c r="C10" s="33">
        <f t="shared" si="1"/>
        <v>10.02148579752367</v>
      </c>
      <c r="D10" s="33">
        <f t="shared" ref="D10:E10" si="4">C10</f>
        <v>10.02148579752367</v>
      </c>
      <c r="E10" s="33">
        <f t="shared" si="4"/>
        <v>10.02148579752367</v>
      </c>
      <c r="F10" s="6">
        <v>54.92</v>
      </c>
      <c r="G10" s="6">
        <v>54.92</v>
      </c>
      <c r="H10" s="6">
        <v>54.92</v>
      </c>
      <c r="I10" s="5">
        <v>550.38</v>
      </c>
      <c r="J10" s="5">
        <v>550.38</v>
      </c>
      <c r="K10" s="5">
        <f t="shared" si="0"/>
        <v>550.38</v>
      </c>
    </row>
    <row r="11" spans="1:11" ht="25.5" x14ac:dyDescent="0.2">
      <c r="A11" s="6" t="s">
        <v>459</v>
      </c>
      <c r="B11" s="178" t="s">
        <v>511</v>
      </c>
      <c r="C11" s="33">
        <f t="shared" si="1"/>
        <v>10.080480699198834</v>
      </c>
      <c r="D11" s="33">
        <f t="shared" ref="D11:E11" si="5">C11</f>
        <v>10.080480699198834</v>
      </c>
      <c r="E11" s="33">
        <f t="shared" si="5"/>
        <v>10.080480699198834</v>
      </c>
      <c r="F11" s="6">
        <v>54.92</v>
      </c>
      <c r="G11" s="6">
        <v>54.92</v>
      </c>
      <c r="H11" s="6">
        <f t="shared" ref="H11" si="6">G11</f>
        <v>54.92</v>
      </c>
      <c r="I11" s="5">
        <v>553.62</v>
      </c>
      <c r="J11" s="5">
        <v>553.62</v>
      </c>
      <c r="K11" s="5">
        <f t="shared" si="0"/>
        <v>553.62</v>
      </c>
    </row>
    <row r="12" spans="1:11" ht="38.25" x14ac:dyDescent="0.2">
      <c r="A12" s="6" t="s">
        <v>460</v>
      </c>
      <c r="B12" s="178" t="s">
        <v>512</v>
      </c>
      <c r="C12" s="33">
        <f t="shared" si="1"/>
        <v>0.66000466122312129</v>
      </c>
      <c r="D12" s="33">
        <f t="shared" ref="D12:E12" si="7">C12</f>
        <v>0.66000466122312129</v>
      </c>
      <c r="E12" s="33">
        <f t="shared" si="7"/>
        <v>0.66000466122312129</v>
      </c>
      <c r="F12" s="6">
        <v>2445.71</v>
      </c>
      <c r="G12" s="6">
        <v>2445.71</v>
      </c>
      <c r="H12" s="6">
        <f t="shared" ref="H12" si="8">G12</f>
        <v>2445.71</v>
      </c>
      <c r="I12" s="5">
        <v>1614.18</v>
      </c>
      <c r="J12" s="5">
        <v>1614.18</v>
      </c>
      <c r="K12" s="5">
        <f t="shared" si="0"/>
        <v>1614.18</v>
      </c>
    </row>
    <row r="13" spans="1:11" ht="38.25" x14ac:dyDescent="0.2">
      <c r="A13" s="6" t="s">
        <v>461</v>
      </c>
      <c r="B13" s="178" t="s">
        <v>513</v>
      </c>
      <c r="C13" s="33">
        <f t="shared" si="1"/>
        <v>0.66000466122312129</v>
      </c>
      <c r="D13" s="33">
        <f t="shared" ref="D13:E13" si="9">C13</f>
        <v>0.66000466122312129</v>
      </c>
      <c r="E13" s="33">
        <f t="shared" si="9"/>
        <v>0.66000466122312129</v>
      </c>
      <c r="F13" s="6">
        <v>2445.71</v>
      </c>
      <c r="G13" s="6">
        <v>2445.71</v>
      </c>
      <c r="H13" s="6">
        <f t="shared" ref="H13" si="10">G13</f>
        <v>2445.71</v>
      </c>
      <c r="I13" s="5">
        <v>1614.18</v>
      </c>
      <c r="J13" s="5">
        <v>1614.18</v>
      </c>
      <c r="K13" s="5">
        <f t="shared" si="0"/>
        <v>1614.18</v>
      </c>
    </row>
    <row r="14" spans="1:11" x14ac:dyDescent="0.2">
      <c r="A14" s="6" t="s">
        <v>462</v>
      </c>
      <c r="B14" s="178" t="s">
        <v>514</v>
      </c>
      <c r="C14" s="33">
        <f t="shared" si="1"/>
        <v>979.49721085905537</v>
      </c>
      <c r="D14" s="33">
        <f t="shared" ref="D14:E14" si="11">C14</f>
        <v>979.49721085905537</v>
      </c>
      <c r="E14" s="33">
        <f t="shared" si="11"/>
        <v>979.49721085905537</v>
      </c>
      <c r="F14" s="6">
        <v>26.89</v>
      </c>
      <c r="G14" s="6">
        <v>26.89</v>
      </c>
      <c r="H14" s="6">
        <f t="shared" ref="H14" si="12">G14</f>
        <v>26.89</v>
      </c>
      <c r="I14" s="40">
        <f>24754.62+1584.06</f>
        <v>26338.68</v>
      </c>
      <c r="J14" s="5">
        <v>26338.68</v>
      </c>
      <c r="K14" s="5">
        <f t="shared" si="0"/>
        <v>26338.68</v>
      </c>
    </row>
    <row r="15" spans="1:11" x14ac:dyDescent="0.2">
      <c r="A15" s="6" t="s">
        <v>462</v>
      </c>
      <c r="B15" s="178" t="s">
        <v>515</v>
      </c>
      <c r="C15" s="33">
        <f t="shared" si="1"/>
        <v>979.45704722945334</v>
      </c>
      <c r="D15" s="33">
        <f t="shared" ref="D15:E15" si="13">C15</f>
        <v>979.45704722945334</v>
      </c>
      <c r="E15" s="33">
        <f t="shared" si="13"/>
        <v>979.45704722945334</v>
      </c>
      <c r="F15" s="6">
        <v>26.89</v>
      </c>
      <c r="G15" s="6">
        <v>26.89</v>
      </c>
      <c r="H15" s="6">
        <f t="shared" ref="H15" si="14">G15</f>
        <v>26.89</v>
      </c>
      <c r="I15" s="40">
        <f>24753.54+1584.06</f>
        <v>26337.600000000002</v>
      </c>
      <c r="J15" s="5">
        <v>26337.599999999999</v>
      </c>
      <c r="K15" s="5">
        <f t="shared" si="0"/>
        <v>26337.599999999999</v>
      </c>
    </row>
    <row r="16" spans="1:11" x14ac:dyDescent="0.2">
      <c r="A16" s="6" t="s">
        <v>285</v>
      </c>
      <c r="B16" s="178" t="s">
        <v>516</v>
      </c>
      <c r="C16" s="33">
        <f t="shared" si="1"/>
        <v>930.46231578947368</v>
      </c>
      <c r="D16" s="33">
        <f t="shared" ref="D16:E16" si="15">C16</f>
        <v>930.46231578947368</v>
      </c>
      <c r="E16" s="33">
        <f t="shared" si="15"/>
        <v>930.46231578947368</v>
      </c>
      <c r="F16" s="6">
        <v>23.75</v>
      </c>
      <c r="G16" s="6">
        <v>23.75</v>
      </c>
      <c r="H16" s="6">
        <f t="shared" ref="H16" si="16">G16</f>
        <v>23.75</v>
      </c>
      <c r="I16" s="40">
        <v>22098.48</v>
      </c>
      <c r="J16" s="5">
        <v>22098.48</v>
      </c>
      <c r="K16" s="5">
        <f t="shared" si="0"/>
        <v>22098.48</v>
      </c>
    </row>
    <row r="17" spans="1:11" x14ac:dyDescent="0.2">
      <c r="A17" s="6" t="s">
        <v>286</v>
      </c>
      <c r="B17" s="178" t="s">
        <v>517</v>
      </c>
      <c r="C17" s="33">
        <f t="shared" si="1"/>
        <v>930.5823157894738</v>
      </c>
      <c r="D17" s="33">
        <f t="shared" ref="D17:E17" si="17">C17</f>
        <v>930.5823157894738</v>
      </c>
      <c r="E17" s="33">
        <f t="shared" si="17"/>
        <v>930.5823157894738</v>
      </c>
      <c r="F17" s="6">
        <v>23.75</v>
      </c>
      <c r="G17" s="6">
        <v>23.75</v>
      </c>
      <c r="H17" s="6">
        <f t="shared" ref="H17" si="18">G17</f>
        <v>23.75</v>
      </c>
      <c r="I17" s="40">
        <v>22101.33</v>
      </c>
      <c r="J17" s="5">
        <v>22101.33</v>
      </c>
      <c r="K17" s="5">
        <f t="shared" si="0"/>
        <v>22101.33</v>
      </c>
    </row>
    <row r="18" spans="1:11" ht="38.25" x14ac:dyDescent="0.2">
      <c r="A18" s="6" t="s">
        <v>454</v>
      </c>
      <c r="B18" s="178" t="s">
        <v>518</v>
      </c>
      <c r="C18" s="33">
        <f t="shared" si="1"/>
        <v>20.443961058342975</v>
      </c>
      <c r="D18" s="33">
        <f t="shared" ref="D18:E18" si="19">C18</f>
        <v>20.443961058342975</v>
      </c>
      <c r="E18" s="33">
        <f t="shared" si="19"/>
        <v>20.443961058342975</v>
      </c>
      <c r="F18" s="6">
        <v>2445.71</v>
      </c>
      <c r="G18" s="6">
        <v>2445.71</v>
      </c>
      <c r="H18" s="6">
        <f t="shared" ref="H18" si="20">G18</f>
        <v>2445.71</v>
      </c>
      <c r="I18" s="5">
        <v>50000</v>
      </c>
      <c r="J18" s="5">
        <v>50000</v>
      </c>
      <c r="K18" s="5">
        <f t="shared" ref="K18:K19" si="21">J18</f>
        <v>50000</v>
      </c>
    </row>
    <row r="19" spans="1:11" ht="51" x14ac:dyDescent="0.2">
      <c r="A19" s="6" t="s">
        <v>455</v>
      </c>
      <c r="B19" s="178" t="s">
        <v>534</v>
      </c>
      <c r="C19" s="33">
        <f t="shared" si="1"/>
        <v>6814.7744309663349</v>
      </c>
      <c r="D19" s="33">
        <f t="shared" ref="D19:E19" si="22">C19</f>
        <v>6814.7744309663349</v>
      </c>
      <c r="E19" s="33">
        <f t="shared" si="22"/>
        <v>6814.7744309663349</v>
      </c>
      <c r="F19" s="6">
        <v>7.3369999999999997</v>
      </c>
      <c r="G19" s="6">
        <v>7.3369999999999997</v>
      </c>
      <c r="H19" s="6">
        <f>G19</f>
        <v>7.3369999999999997</v>
      </c>
      <c r="I19" s="5">
        <v>50000</v>
      </c>
      <c r="J19" s="5">
        <v>50000</v>
      </c>
      <c r="K19" s="5">
        <f t="shared" si="21"/>
        <v>50000</v>
      </c>
    </row>
    <row r="20" spans="1:11" ht="25.5" x14ac:dyDescent="0.2">
      <c r="A20" s="6" t="s">
        <v>464</v>
      </c>
      <c r="B20" s="178" t="s">
        <v>535</v>
      </c>
      <c r="C20" s="33">
        <f>I20/F20</f>
        <v>42251.601471991278</v>
      </c>
      <c r="D20" s="33">
        <f t="shared" ref="D20:E20" si="23">C20</f>
        <v>42251.601471991278</v>
      </c>
      <c r="E20" s="33">
        <f t="shared" si="23"/>
        <v>42251.601471991278</v>
      </c>
      <c r="F20" s="6">
        <v>7.3369999999999997</v>
      </c>
      <c r="G20" s="6">
        <v>7.3369999999999997</v>
      </c>
      <c r="H20" s="6">
        <f t="shared" ref="H20" si="24">G20</f>
        <v>7.3369999999999997</v>
      </c>
      <c r="I20" s="40">
        <v>310000</v>
      </c>
      <c r="J20" s="5">
        <v>310000</v>
      </c>
      <c r="K20" s="5">
        <f>J20</f>
        <v>310000</v>
      </c>
    </row>
    <row r="21" spans="1:11" ht="25.5" x14ac:dyDescent="0.2">
      <c r="A21" s="6" t="s">
        <v>463</v>
      </c>
      <c r="B21" s="178" t="s">
        <v>536</v>
      </c>
      <c r="C21" s="33">
        <f t="shared" si="1"/>
        <v>42251.601471991278</v>
      </c>
      <c r="D21" s="33">
        <f t="shared" ref="D21:E23" si="25">C21</f>
        <v>42251.601471991278</v>
      </c>
      <c r="E21" s="33">
        <f t="shared" si="25"/>
        <v>42251.601471991278</v>
      </c>
      <c r="F21" s="6">
        <v>7.3369999999999997</v>
      </c>
      <c r="G21" s="6">
        <f t="shared" ref="G21:H21" si="26">F21</f>
        <v>7.3369999999999997</v>
      </c>
      <c r="H21" s="6">
        <f t="shared" si="26"/>
        <v>7.3369999999999997</v>
      </c>
      <c r="I21" s="40">
        <v>310000</v>
      </c>
      <c r="J21" s="5">
        <v>310000</v>
      </c>
      <c r="K21" s="5">
        <f>J21</f>
        <v>310000</v>
      </c>
    </row>
    <row r="22" spans="1:11" x14ac:dyDescent="0.2">
      <c r="A22" s="6" t="s">
        <v>423</v>
      </c>
      <c r="B22" s="178" t="s">
        <v>537</v>
      </c>
      <c r="C22" s="33">
        <v>18.75</v>
      </c>
      <c r="D22" s="33">
        <f t="shared" si="25"/>
        <v>18.75</v>
      </c>
      <c r="E22" s="33">
        <f t="shared" si="25"/>
        <v>18.75</v>
      </c>
      <c r="F22" s="6">
        <v>1949.76</v>
      </c>
      <c r="G22" s="6">
        <v>1949.76</v>
      </c>
      <c r="H22" s="6">
        <f>G22</f>
        <v>1949.76</v>
      </c>
      <c r="I22" s="5">
        <f>C22*F22</f>
        <v>36558</v>
      </c>
      <c r="J22" s="5">
        <f>D22*G22</f>
        <v>36558</v>
      </c>
      <c r="K22" s="5">
        <f t="shared" ref="K22:K23" si="27">J22</f>
        <v>36558</v>
      </c>
    </row>
    <row r="23" spans="1:11" x14ac:dyDescent="0.2">
      <c r="A23" s="6" t="s">
        <v>424</v>
      </c>
      <c r="B23" s="178" t="s">
        <v>538</v>
      </c>
      <c r="C23" s="33">
        <v>19.5</v>
      </c>
      <c r="D23" s="33">
        <f t="shared" si="25"/>
        <v>19.5</v>
      </c>
      <c r="E23" s="33">
        <f t="shared" si="25"/>
        <v>19.5</v>
      </c>
      <c r="F23" s="6">
        <v>1949.76</v>
      </c>
      <c r="G23" s="6">
        <v>1949.76</v>
      </c>
      <c r="H23" s="6">
        <f>G23</f>
        <v>1949.76</v>
      </c>
      <c r="I23" s="5">
        <f>C23*F23</f>
        <v>38020.32</v>
      </c>
      <c r="J23" s="5">
        <f>D23*G23</f>
        <v>38020.32</v>
      </c>
      <c r="K23" s="5">
        <f t="shared" si="27"/>
        <v>38020.32</v>
      </c>
    </row>
    <row r="24" spans="1:11" x14ac:dyDescent="0.2">
      <c r="A24" s="6" t="s">
        <v>135</v>
      </c>
      <c r="B24" s="2">
        <v>9000</v>
      </c>
      <c r="C24" s="2" t="s">
        <v>12</v>
      </c>
      <c r="D24" s="2" t="s">
        <v>12</v>
      </c>
      <c r="E24" s="2" t="s">
        <v>12</v>
      </c>
      <c r="F24" s="2" t="s">
        <v>12</v>
      </c>
      <c r="G24" s="2" t="s">
        <v>12</v>
      </c>
      <c r="H24" s="2" t="s">
        <v>12</v>
      </c>
      <c r="I24" s="5">
        <f>SUM(I8:I23)</f>
        <v>2100300</v>
      </c>
      <c r="J24" s="5">
        <f t="shared" ref="J24:K24" si="28">SUM(J8:J23)</f>
        <v>2100300</v>
      </c>
      <c r="K24" s="5">
        <f t="shared" si="28"/>
        <v>2100300</v>
      </c>
    </row>
    <row r="30" spans="1:11" x14ac:dyDescent="0.2">
      <c r="J30" s="82"/>
    </row>
  </sheetData>
  <mergeCells count="5">
    <mergeCell ref="A4:A6"/>
    <mergeCell ref="B4:B6"/>
    <mergeCell ref="C4:E4"/>
    <mergeCell ref="F4:H4"/>
    <mergeCell ref="I4:K4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5"/>
  <sheetViews>
    <sheetView workbookViewId="0">
      <selection activeCell="G14" sqref="G14"/>
    </sheetView>
  </sheetViews>
  <sheetFormatPr defaultRowHeight="12.75" x14ac:dyDescent="0.2"/>
  <cols>
    <col min="1" max="1" width="33.85546875" style="34" customWidth="1"/>
    <col min="2" max="2" width="9.140625" style="34"/>
    <col min="3" max="5" width="18.42578125" style="34" customWidth="1"/>
    <col min="6" max="16384" width="9.140625" style="34"/>
  </cols>
  <sheetData>
    <row r="1" spans="1:5" x14ac:dyDescent="0.2">
      <c r="A1" s="34" t="s">
        <v>145</v>
      </c>
    </row>
    <row r="3" spans="1:5" x14ac:dyDescent="0.2">
      <c r="A3" s="34" t="s">
        <v>144</v>
      </c>
    </row>
    <row r="5" spans="1:5" ht="24" customHeight="1" x14ac:dyDescent="0.2">
      <c r="A5" s="35" t="s">
        <v>137</v>
      </c>
    </row>
    <row r="6" spans="1:5" x14ac:dyDescent="0.2">
      <c r="A6" s="227" t="s">
        <v>0</v>
      </c>
      <c r="B6" s="227" t="s">
        <v>1</v>
      </c>
      <c r="C6" s="227" t="s">
        <v>115</v>
      </c>
      <c r="D6" s="227"/>
      <c r="E6" s="227"/>
    </row>
    <row r="7" spans="1:5" x14ac:dyDescent="0.2">
      <c r="A7" s="227"/>
      <c r="B7" s="227"/>
      <c r="C7" s="36" t="s">
        <v>4</v>
      </c>
      <c r="D7" s="36" t="s">
        <v>4</v>
      </c>
      <c r="E7" s="36" t="s">
        <v>4</v>
      </c>
    </row>
    <row r="8" spans="1:5" ht="25.5" x14ac:dyDescent="0.2">
      <c r="A8" s="227"/>
      <c r="B8" s="227"/>
      <c r="C8" s="36" t="s">
        <v>75</v>
      </c>
      <c r="D8" s="36" t="s">
        <v>76</v>
      </c>
      <c r="E8" s="36" t="s">
        <v>77</v>
      </c>
    </row>
    <row r="9" spans="1:5" x14ac:dyDescent="0.2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38.25" x14ac:dyDescent="0.2">
      <c r="A10" s="37" t="s">
        <v>116</v>
      </c>
      <c r="B10" s="36">
        <v>100</v>
      </c>
      <c r="C10" s="37"/>
      <c r="D10" s="37"/>
      <c r="E10" s="37"/>
    </row>
    <row r="11" spans="1:5" ht="51" x14ac:dyDescent="0.2">
      <c r="A11" s="37" t="s">
        <v>117</v>
      </c>
      <c r="B11" s="36">
        <v>200</v>
      </c>
      <c r="C11" s="37"/>
      <c r="D11" s="37"/>
      <c r="E11" s="37"/>
    </row>
    <row r="12" spans="1:5" x14ac:dyDescent="0.2">
      <c r="A12" s="37" t="s">
        <v>118</v>
      </c>
      <c r="B12" s="36">
        <v>300</v>
      </c>
      <c r="C12" s="37"/>
      <c r="D12" s="37"/>
      <c r="E12" s="37"/>
    </row>
    <row r="13" spans="1:5" x14ac:dyDescent="0.2">
      <c r="A13" s="37" t="s">
        <v>15</v>
      </c>
      <c r="B13" s="227">
        <v>310</v>
      </c>
      <c r="C13" s="240"/>
      <c r="D13" s="240"/>
      <c r="E13" s="240"/>
    </row>
    <row r="14" spans="1:5" ht="51" x14ac:dyDescent="0.2">
      <c r="A14" s="37" t="s">
        <v>17</v>
      </c>
      <c r="B14" s="227"/>
      <c r="C14" s="240"/>
      <c r="D14" s="240"/>
      <c r="E14" s="240"/>
    </row>
    <row r="15" spans="1:5" ht="25.5" x14ac:dyDescent="0.2">
      <c r="A15" s="37" t="s">
        <v>119</v>
      </c>
      <c r="B15" s="36">
        <v>320</v>
      </c>
      <c r="C15" s="37"/>
      <c r="D15" s="37"/>
      <c r="E15" s="37"/>
    </row>
    <row r="16" spans="1:5" ht="38.25" x14ac:dyDescent="0.2">
      <c r="A16" s="37" t="s">
        <v>18</v>
      </c>
      <c r="B16" s="36">
        <v>330</v>
      </c>
      <c r="C16" s="37"/>
      <c r="D16" s="37"/>
      <c r="E16" s="37"/>
    </row>
    <row r="17" spans="1:5" ht="38.25" x14ac:dyDescent="0.2">
      <c r="A17" s="37" t="s">
        <v>19</v>
      </c>
      <c r="B17" s="36">
        <v>340</v>
      </c>
      <c r="C17" s="37"/>
      <c r="D17" s="37"/>
      <c r="E17" s="37"/>
    </row>
    <row r="18" spans="1:5" ht="25.5" x14ac:dyDescent="0.2">
      <c r="A18" s="37" t="s">
        <v>120</v>
      </c>
      <c r="B18" s="36">
        <v>350</v>
      </c>
      <c r="C18" s="37"/>
      <c r="D18" s="37"/>
      <c r="E18" s="37"/>
    </row>
    <row r="19" spans="1:5" ht="25.5" x14ac:dyDescent="0.2">
      <c r="A19" s="37" t="s">
        <v>121</v>
      </c>
      <c r="B19" s="36">
        <v>360</v>
      </c>
      <c r="C19" s="37"/>
      <c r="D19" s="37"/>
      <c r="E19" s="37"/>
    </row>
    <row r="20" spans="1:5" ht="63.75" x14ac:dyDescent="0.2">
      <c r="A20" s="37" t="s">
        <v>122</v>
      </c>
      <c r="B20" s="36">
        <v>370</v>
      </c>
      <c r="C20" s="37"/>
      <c r="D20" s="37"/>
      <c r="E20" s="37"/>
    </row>
    <row r="21" spans="1:5" ht="51" x14ac:dyDescent="0.2">
      <c r="A21" s="37" t="s">
        <v>123</v>
      </c>
      <c r="B21" s="36">
        <v>380</v>
      </c>
      <c r="C21" s="37"/>
      <c r="D21" s="37"/>
      <c r="E21" s="37"/>
    </row>
    <row r="22" spans="1:5" ht="38.25" x14ac:dyDescent="0.2">
      <c r="A22" s="37" t="s">
        <v>124</v>
      </c>
      <c r="B22" s="36">
        <v>390</v>
      </c>
      <c r="C22" s="37"/>
      <c r="D22" s="37"/>
      <c r="E22" s="37"/>
    </row>
    <row r="23" spans="1:5" ht="38.25" x14ac:dyDescent="0.2">
      <c r="A23" s="37" t="s">
        <v>125</v>
      </c>
      <c r="B23" s="36">
        <v>400</v>
      </c>
      <c r="C23" s="37"/>
      <c r="D23" s="37"/>
      <c r="E23" s="37"/>
    </row>
    <row r="24" spans="1:5" ht="51" x14ac:dyDescent="0.2">
      <c r="A24" s="37" t="s">
        <v>126</v>
      </c>
      <c r="B24" s="36">
        <v>500</v>
      </c>
      <c r="C24" s="37"/>
      <c r="D24" s="37"/>
      <c r="E24" s="37"/>
    </row>
    <row r="25" spans="1:5" ht="38.25" x14ac:dyDescent="0.2">
      <c r="A25" s="37" t="s">
        <v>127</v>
      </c>
      <c r="B25" s="36">
        <v>600</v>
      </c>
      <c r="C25" s="37"/>
      <c r="D25" s="37"/>
      <c r="E25" s="37"/>
    </row>
  </sheetData>
  <mergeCells count="7">
    <mergeCell ref="A6:A8"/>
    <mergeCell ref="B6:B8"/>
    <mergeCell ref="C6:E6"/>
    <mergeCell ref="B13:B14"/>
    <mergeCell ref="C13:C14"/>
    <mergeCell ref="D13:D14"/>
    <mergeCell ref="E13:E14"/>
  </mergeCells>
  <pageMargins left="0.7" right="0.7" top="0.75" bottom="0.75" header="0.3" footer="0.3"/>
  <pageSetup paperSize="9" scale="88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"/>
  <sheetViews>
    <sheetView workbookViewId="0">
      <selection activeCell="K9" sqref="K9"/>
    </sheetView>
  </sheetViews>
  <sheetFormatPr defaultRowHeight="12.75" x14ac:dyDescent="0.2"/>
  <cols>
    <col min="1" max="1" width="17.85546875" style="3" customWidth="1"/>
    <col min="2" max="2" width="9.140625" style="3"/>
    <col min="3" max="14" width="14.85546875" style="3" customWidth="1"/>
    <col min="15" max="16384" width="9.140625" style="3"/>
  </cols>
  <sheetData>
    <row r="1" spans="1:14" x14ac:dyDescent="0.2">
      <c r="A1" s="3" t="s">
        <v>266</v>
      </c>
    </row>
    <row r="2" spans="1:14" ht="47.25" customHeight="1" x14ac:dyDescent="0.2">
      <c r="A2" s="241" t="s">
        <v>216</v>
      </c>
      <c r="B2" s="241" t="s">
        <v>1</v>
      </c>
      <c r="C2" s="241" t="s">
        <v>263</v>
      </c>
      <c r="D2" s="241"/>
      <c r="E2" s="241"/>
      <c r="F2" s="241" t="s">
        <v>264</v>
      </c>
      <c r="G2" s="241"/>
      <c r="H2" s="241"/>
      <c r="I2" s="285" t="s">
        <v>265</v>
      </c>
      <c r="J2" s="286"/>
      <c r="K2" s="286"/>
      <c r="L2" s="285" t="s">
        <v>115</v>
      </c>
      <c r="M2" s="286"/>
      <c r="N2" s="287"/>
    </row>
    <row r="3" spans="1:14" x14ac:dyDescent="0.2">
      <c r="A3" s="241"/>
      <c r="B3" s="241"/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6" t="s">
        <v>4</v>
      </c>
      <c r="L3" s="12" t="s">
        <v>4</v>
      </c>
      <c r="M3" s="2" t="s">
        <v>4</v>
      </c>
      <c r="N3" s="2" t="s">
        <v>4</v>
      </c>
    </row>
    <row r="4" spans="1:14" ht="38.25" x14ac:dyDescent="0.2">
      <c r="A4" s="241"/>
      <c r="B4" s="241"/>
      <c r="C4" s="2" t="s">
        <v>75</v>
      </c>
      <c r="D4" s="2" t="s">
        <v>76</v>
      </c>
      <c r="E4" s="2" t="s">
        <v>77</v>
      </c>
      <c r="F4" s="2" t="s">
        <v>75</v>
      </c>
      <c r="G4" s="2" t="s">
        <v>76</v>
      </c>
      <c r="H4" s="2" t="s">
        <v>77</v>
      </c>
      <c r="I4" s="6" t="s">
        <v>75</v>
      </c>
      <c r="J4" s="2" t="s">
        <v>76</v>
      </c>
      <c r="K4" s="2" t="s">
        <v>77</v>
      </c>
      <c r="L4" s="12" t="s">
        <v>75</v>
      </c>
      <c r="M4" s="2" t="s">
        <v>76</v>
      </c>
      <c r="N4" s="2" t="s">
        <v>77</v>
      </c>
    </row>
    <row r="5" spans="1:14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10</v>
      </c>
      <c r="J5" s="2">
        <v>11</v>
      </c>
      <c r="K5" s="6">
        <v>9</v>
      </c>
      <c r="L5" s="12">
        <v>12</v>
      </c>
      <c r="M5" s="2">
        <v>13</v>
      </c>
      <c r="N5" s="2">
        <v>14</v>
      </c>
    </row>
    <row r="6" spans="1:14" x14ac:dyDescent="0.2">
      <c r="A6" s="6"/>
      <c r="B6" s="2">
        <v>1</v>
      </c>
      <c r="C6" s="6"/>
      <c r="D6" s="6"/>
      <c r="E6" s="6"/>
      <c r="F6" s="6"/>
      <c r="G6" s="6"/>
      <c r="H6" s="6"/>
      <c r="I6" s="6"/>
      <c r="J6" s="6"/>
      <c r="K6" s="6"/>
      <c r="L6" s="8"/>
      <c r="M6" s="6"/>
      <c r="N6" s="6"/>
    </row>
    <row r="7" spans="1:14" x14ac:dyDescent="0.2">
      <c r="A7" s="6"/>
      <c r="B7" s="2">
        <v>2</v>
      </c>
      <c r="C7" s="6"/>
      <c r="D7" s="6"/>
      <c r="E7" s="6"/>
      <c r="F7" s="6"/>
      <c r="G7" s="6"/>
      <c r="H7" s="6"/>
      <c r="I7" s="6"/>
      <c r="J7" s="6"/>
      <c r="K7" s="6"/>
      <c r="L7" s="8"/>
      <c r="M7" s="6"/>
      <c r="N7" s="6"/>
    </row>
    <row r="8" spans="1:1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  <c r="M8" s="6"/>
      <c r="N8" s="6"/>
    </row>
    <row r="9" spans="1:14" x14ac:dyDescent="0.2">
      <c r="A9" s="6" t="s">
        <v>135</v>
      </c>
      <c r="B9" s="2">
        <v>9000</v>
      </c>
      <c r="C9" s="2" t="s">
        <v>12</v>
      </c>
      <c r="D9" s="2" t="s">
        <v>12</v>
      </c>
      <c r="E9" s="2" t="s">
        <v>12</v>
      </c>
      <c r="F9" s="2" t="s">
        <v>12</v>
      </c>
      <c r="G9" s="2" t="s">
        <v>12</v>
      </c>
      <c r="H9" s="2" t="s">
        <v>12</v>
      </c>
      <c r="I9" s="2" t="s">
        <v>12</v>
      </c>
      <c r="J9" s="2" t="s">
        <v>12</v>
      </c>
      <c r="K9" s="2" t="s">
        <v>12</v>
      </c>
      <c r="L9" s="8"/>
      <c r="M9" s="6"/>
      <c r="N9" s="6"/>
    </row>
  </sheetData>
  <mergeCells count="6">
    <mergeCell ref="I2:K2"/>
    <mergeCell ref="L2:N2"/>
    <mergeCell ref="A2:A4"/>
    <mergeCell ref="B2:B4"/>
    <mergeCell ref="C2:E2"/>
    <mergeCell ref="F2:H2"/>
  </mergeCells>
  <pageMargins left="0.7" right="0.7" top="0.75" bottom="0.75" header="0.3" footer="0.3"/>
  <pageSetup paperSize="9" scale="63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9"/>
  <sheetViews>
    <sheetView topLeftCell="A21" workbookViewId="0">
      <selection sqref="A1:K26"/>
    </sheetView>
  </sheetViews>
  <sheetFormatPr defaultRowHeight="12.75" x14ac:dyDescent="0.2"/>
  <cols>
    <col min="1" max="1" width="30.7109375" style="3" customWidth="1"/>
    <col min="2" max="2" width="9.140625" style="3"/>
    <col min="3" max="4" width="12.5703125" style="3" customWidth="1"/>
    <col min="5" max="5" width="12.7109375" style="3" customWidth="1"/>
    <col min="6" max="6" width="13.42578125" style="3" customWidth="1"/>
    <col min="7" max="7" width="12.85546875" style="3" customWidth="1"/>
    <col min="8" max="8" width="13.7109375" style="3" customWidth="1"/>
    <col min="9" max="11" width="16.7109375" style="3" customWidth="1"/>
    <col min="12" max="16384" width="9.140625" style="3"/>
  </cols>
  <sheetData>
    <row r="1" spans="1:11" ht="15.75" x14ac:dyDescent="0.25">
      <c r="A1" s="46" t="s">
        <v>269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 x14ac:dyDescent="0.25">
      <c r="A3" s="46" t="s">
        <v>377</v>
      </c>
      <c r="B3" s="46" t="s">
        <v>375</v>
      </c>
      <c r="C3" s="46" t="s">
        <v>376</v>
      </c>
      <c r="D3" s="47">
        <v>621</v>
      </c>
      <c r="E3" s="46"/>
      <c r="F3" s="46"/>
      <c r="G3" s="46"/>
      <c r="H3" s="46"/>
      <c r="I3" s="46"/>
      <c r="J3" s="46"/>
      <c r="K3" s="46"/>
    </row>
    <row r="4" spans="1:11" x14ac:dyDescent="0.2">
      <c r="A4" s="241" t="s">
        <v>216</v>
      </c>
      <c r="B4" s="241" t="s">
        <v>1</v>
      </c>
      <c r="C4" s="247" t="s">
        <v>267</v>
      </c>
      <c r="D4" s="247"/>
      <c r="E4" s="247"/>
      <c r="F4" s="247" t="s">
        <v>268</v>
      </c>
      <c r="G4" s="247"/>
      <c r="H4" s="247"/>
      <c r="I4" s="247" t="s">
        <v>115</v>
      </c>
      <c r="J4" s="247"/>
      <c r="K4" s="247"/>
    </row>
    <row r="5" spans="1:11" x14ac:dyDescent="0.2">
      <c r="A5" s="241"/>
      <c r="B5" s="241"/>
      <c r="C5" s="204" t="s">
        <v>418</v>
      </c>
      <c r="D5" s="204" t="s">
        <v>451</v>
      </c>
      <c r="E5" s="204" t="s">
        <v>590</v>
      </c>
      <c r="F5" s="204" t="s">
        <v>418</v>
      </c>
      <c r="G5" s="204" t="s">
        <v>451</v>
      </c>
      <c r="H5" s="204" t="s">
        <v>590</v>
      </c>
      <c r="I5" s="204" t="s">
        <v>418</v>
      </c>
      <c r="J5" s="204" t="s">
        <v>451</v>
      </c>
      <c r="K5" s="204" t="s">
        <v>590</v>
      </c>
    </row>
    <row r="6" spans="1:11" ht="38.25" x14ac:dyDescent="0.2">
      <c r="A6" s="241"/>
      <c r="B6" s="241"/>
      <c r="C6" s="48" t="s">
        <v>75</v>
      </c>
      <c r="D6" s="48" t="s">
        <v>76</v>
      </c>
      <c r="E6" s="48" t="s">
        <v>77</v>
      </c>
      <c r="F6" s="48" t="s">
        <v>75</v>
      </c>
      <c r="G6" s="48" t="s">
        <v>76</v>
      </c>
      <c r="H6" s="48" t="s">
        <v>77</v>
      </c>
      <c r="I6" s="48" t="s">
        <v>75</v>
      </c>
      <c r="J6" s="48" t="s">
        <v>76</v>
      </c>
      <c r="K6" s="48" t="s">
        <v>77</v>
      </c>
    </row>
    <row r="7" spans="1:11" ht="25.5" x14ac:dyDescent="0.2">
      <c r="A7" s="183" t="s">
        <v>287</v>
      </c>
      <c r="B7" s="178" t="s">
        <v>486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191">
        <v>34848</v>
      </c>
      <c r="J7" s="5">
        <f>I7</f>
        <v>34848</v>
      </c>
      <c r="K7" s="5">
        <f t="shared" ref="K7:K25" si="0">J7</f>
        <v>34848</v>
      </c>
    </row>
    <row r="8" spans="1:11" x14ac:dyDescent="0.2">
      <c r="A8" s="183" t="s">
        <v>542</v>
      </c>
      <c r="B8" s="178" t="s">
        <v>487</v>
      </c>
      <c r="C8" s="6">
        <v>1</v>
      </c>
      <c r="D8" s="6">
        <v>1</v>
      </c>
      <c r="E8" s="6">
        <v>1</v>
      </c>
      <c r="F8" s="6">
        <v>12</v>
      </c>
      <c r="G8" s="6">
        <v>12</v>
      </c>
      <c r="H8" s="6">
        <v>12</v>
      </c>
      <c r="I8" s="190">
        <v>19323</v>
      </c>
      <c r="J8" s="185">
        <f t="shared" ref="J8:J25" si="1">I8</f>
        <v>19323</v>
      </c>
      <c r="K8" s="5">
        <f t="shared" si="0"/>
        <v>19323</v>
      </c>
    </row>
    <row r="9" spans="1:11" ht="25.5" x14ac:dyDescent="0.2">
      <c r="A9" s="183" t="s">
        <v>543</v>
      </c>
      <c r="B9" s="178" t="s">
        <v>488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191">
        <v>35000</v>
      </c>
      <c r="J9" s="185">
        <f t="shared" si="1"/>
        <v>35000</v>
      </c>
      <c r="K9" s="5">
        <f t="shared" si="0"/>
        <v>35000</v>
      </c>
    </row>
    <row r="10" spans="1:11" ht="25.5" x14ac:dyDescent="0.2">
      <c r="A10" s="187" t="s">
        <v>544</v>
      </c>
      <c r="B10" s="178" t="s">
        <v>511</v>
      </c>
      <c r="C10" s="6">
        <v>1</v>
      </c>
      <c r="D10" s="6">
        <v>1</v>
      </c>
      <c r="E10" s="6">
        <v>1</v>
      </c>
      <c r="F10" s="6">
        <v>12</v>
      </c>
      <c r="G10" s="6">
        <v>12</v>
      </c>
      <c r="H10" s="6">
        <v>12</v>
      </c>
      <c r="I10" s="191">
        <v>3600</v>
      </c>
      <c r="J10" s="185">
        <f t="shared" si="1"/>
        <v>3600</v>
      </c>
      <c r="K10" s="5">
        <f t="shared" si="0"/>
        <v>3600</v>
      </c>
    </row>
    <row r="11" spans="1:11" x14ac:dyDescent="0.2">
      <c r="A11" s="183" t="s">
        <v>545</v>
      </c>
      <c r="B11" s="178" t="s">
        <v>512</v>
      </c>
      <c r="C11" s="6">
        <v>1</v>
      </c>
      <c r="D11" s="6">
        <v>1</v>
      </c>
      <c r="E11" s="6">
        <v>1</v>
      </c>
      <c r="F11" s="6">
        <v>12</v>
      </c>
      <c r="G11" s="6">
        <v>12</v>
      </c>
      <c r="H11" s="6">
        <v>12</v>
      </c>
      <c r="I11" s="191">
        <v>15000</v>
      </c>
      <c r="J11" s="185">
        <f t="shared" si="1"/>
        <v>15000</v>
      </c>
      <c r="K11" s="5">
        <f t="shared" si="0"/>
        <v>15000</v>
      </c>
    </row>
    <row r="12" spans="1:11" ht="38.25" x14ac:dyDescent="0.2">
      <c r="A12" s="183" t="s">
        <v>546</v>
      </c>
      <c r="B12" s="178" t="s">
        <v>513</v>
      </c>
      <c r="C12" s="6">
        <v>1</v>
      </c>
      <c r="D12" s="6">
        <v>1</v>
      </c>
      <c r="E12" s="6">
        <v>1</v>
      </c>
      <c r="F12" s="6">
        <v>12</v>
      </c>
      <c r="G12" s="6">
        <v>12</v>
      </c>
      <c r="H12" s="6">
        <v>12</v>
      </c>
      <c r="I12" s="191">
        <v>10000</v>
      </c>
      <c r="J12" s="185">
        <f t="shared" si="1"/>
        <v>10000</v>
      </c>
      <c r="K12" s="5">
        <f t="shared" si="0"/>
        <v>10000</v>
      </c>
    </row>
    <row r="13" spans="1:11" ht="25.5" x14ac:dyDescent="0.2">
      <c r="A13" s="183" t="s">
        <v>547</v>
      </c>
      <c r="B13" s="178" t="s">
        <v>514</v>
      </c>
      <c r="C13" s="6">
        <v>1</v>
      </c>
      <c r="D13" s="6">
        <v>1</v>
      </c>
      <c r="E13" s="6">
        <v>1</v>
      </c>
      <c r="F13" s="6">
        <v>12</v>
      </c>
      <c r="G13" s="6">
        <v>12</v>
      </c>
      <c r="H13" s="6">
        <v>12</v>
      </c>
      <c r="I13" s="191">
        <v>6000</v>
      </c>
      <c r="J13" s="185">
        <f t="shared" si="1"/>
        <v>6000</v>
      </c>
      <c r="K13" s="5">
        <f t="shared" si="0"/>
        <v>6000</v>
      </c>
    </row>
    <row r="14" spans="1:11" x14ac:dyDescent="0.2">
      <c r="A14" s="183" t="s">
        <v>548</v>
      </c>
      <c r="B14" s="178" t="s">
        <v>515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191">
        <v>12000</v>
      </c>
      <c r="J14" s="185">
        <f t="shared" si="1"/>
        <v>12000</v>
      </c>
      <c r="K14" s="5">
        <f t="shared" si="0"/>
        <v>12000</v>
      </c>
    </row>
    <row r="15" spans="1:11" x14ac:dyDescent="0.2">
      <c r="A15" s="187" t="s">
        <v>549</v>
      </c>
      <c r="B15" s="178" t="s">
        <v>516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191">
        <v>7000</v>
      </c>
      <c r="J15" s="185">
        <f t="shared" si="1"/>
        <v>7000</v>
      </c>
      <c r="K15" s="5">
        <f t="shared" si="0"/>
        <v>7000</v>
      </c>
    </row>
    <row r="16" spans="1:11" ht="25.5" x14ac:dyDescent="0.2">
      <c r="A16" s="183" t="s">
        <v>550</v>
      </c>
      <c r="B16" s="178" t="s">
        <v>517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191">
        <v>18000</v>
      </c>
      <c r="J16" s="185">
        <f t="shared" si="1"/>
        <v>18000</v>
      </c>
      <c r="K16" s="5">
        <f t="shared" si="0"/>
        <v>18000</v>
      </c>
    </row>
    <row r="17" spans="1:11" ht="25.5" x14ac:dyDescent="0.2">
      <c r="A17" s="183" t="s">
        <v>551</v>
      </c>
      <c r="B17" s="178" t="s">
        <v>518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191">
        <v>31200</v>
      </c>
      <c r="J17" s="185">
        <f t="shared" si="1"/>
        <v>31200</v>
      </c>
      <c r="K17" s="5">
        <f t="shared" si="0"/>
        <v>31200</v>
      </c>
    </row>
    <row r="18" spans="1:11" x14ac:dyDescent="0.2">
      <c r="A18" s="183" t="s">
        <v>552</v>
      </c>
      <c r="B18" s="178" t="s">
        <v>534</v>
      </c>
      <c r="C18" s="6">
        <v>1</v>
      </c>
      <c r="D18" s="6">
        <v>1</v>
      </c>
      <c r="E18" s="6">
        <v>1</v>
      </c>
      <c r="F18" s="6">
        <v>12</v>
      </c>
      <c r="G18" s="6">
        <v>12</v>
      </c>
      <c r="H18" s="6">
        <v>12</v>
      </c>
      <c r="I18" s="191">
        <v>3690</v>
      </c>
      <c r="J18" s="185">
        <f t="shared" si="1"/>
        <v>3690</v>
      </c>
      <c r="K18" s="5">
        <f t="shared" si="0"/>
        <v>3690</v>
      </c>
    </row>
    <row r="19" spans="1:11" x14ac:dyDescent="0.2">
      <c r="A19" s="188" t="s">
        <v>553</v>
      </c>
      <c r="B19" s="178" t="s">
        <v>535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191">
        <v>42000</v>
      </c>
      <c r="J19" s="185">
        <f t="shared" si="1"/>
        <v>42000</v>
      </c>
      <c r="K19" s="5">
        <f t="shared" si="0"/>
        <v>42000</v>
      </c>
    </row>
    <row r="20" spans="1:11" ht="38.25" x14ac:dyDescent="0.2">
      <c r="A20" s="188" t="s">
        <v>554</v>
      </c>
      <c r="B20" s="178" t="s">
        <v>536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190">
        <v>33499</v>
      </c>
      <c r="J20" s="185">
        <f t="shared" si="1"/>
        <v>33499</v>
      </c>
      <c r="K20" s="5">
        <f t="shared" si="0"/>
        <v>33499</v>
      </c>
    </row>
    <row r="21" spans="1:11" x14ac:dyDescent="0.2">
      <c r="A21" s="188" t="s">
        <v>316</v>
      </c>
      <c r="B21" s="178" t="s">
        <v>537</v>
      </c>
      <c r="C21" s="6">
        <v>1</v>
      </c>
      <c r="D21" s="6">
        <v>1</v>
      </c>
      <c r="E21" s="6">
        <v>1</v>
      </c>
      <c r="F21" s="6">
        <v>12</v>
      </c>
      <c r="G21" s="6">
        <v>12</v>
      </c>
      <c r="H21" s="6">
        <v>12</v>
      </c>
      <c r="I21" s="191">
        <v>4800</v>
      </c>
      <c r="J21" s="185">
        <f t="shared" si="1"/>
        <v>4800</v>
      </c>
      <c r="K21" s="5">
        <f t="shared" si="0"/>
        <v>4800</v>
      </c>
    </row>
    <row r="22" spans="1:11" x14ac:dyDescent="0.2">
      <c r="A22" s="188" t="s">
        <v>555</v>
      </c>
      <c r="B22" s="178" t="s">
        <v>538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191">
        <v>1500</v>
      </c>
      <c r="J22" s="185">
        <f t="shared" si="1"/>
        <v>1500</v>
      </c>
      <c r="K22" s="5">
        <f t="shared" si="0"/>
        <v>1500</v>
      </c>
    </row>
    <row r="23" spans="1:11" x14ac:dyDescent="0.2">
      <c r="A23" s="188" t="s">
        <v>556</v>
      </c>
      <c r="B23" s="178" t="s">
        <v>539</v>
      </c>
      <c r="C23" s="6">
        <v>1</v>
      </c>
      <c r="D23" s="6">
        <v>1</v>
      </c>
      <c r="E23" s="6">
        <v>1</v>
      </c>
      <c r="F23" s="6">
        <v>12</v>
      </c>
      <c r="G23" s="6">
        <v>12</v>
      </c>
      <c r="H23" s="6">
        <v>12</v>
      </c>
      <c r="I23" s="191">
        <v>3029.28</v>
      </c>
      <c r="J23" s="185">
        <f t="shared" si="1"/>
        <v>3029.28</v>
      </c>
      <c r="K23" s="5">
        <f t="shared" si="0"/>
        <v>3029.28</v>
      </c>
    </row>
    <row r="24" spans="1:11" x14ac:dyDescent="0.2">
      <c r="A24" s="188" t="s">
        <v>557</v>
      </c>
      <c r="B24" s="178" t="s">
        <v>540</v>
      </c>
      <c r="C24" s="6">
        <v>1</v>
      </c>
      <c r="D24" s="6">
        <v>1</v>
      </c>
      <c r="E24" s="6">
        <v>1</v>
      </c>
      <c r="F24" s="6">
        <v>12</v>
      </c>
      <c r="G24" s="6">
        <v>12</v>
      </c>
      <c r="H24" s="6">
        <v>12</v>
      </c>
      <c r="I24" s="191">
        <v>312400</v>
      </c>
      <c r="J24" s="185">
        <f t="shared" si="1"/>
        <v>312400</v>
      </c>
      <c r="K24" s="5">
        <f t="shared" si="0"/>
        <v>312400</v>
      </c>
    </row>
    <row r="25" spans="1:11" ht="25.5" x14ac:dyDescent="0.2">
      <c r="A25" s="188" t="s">
        <v>558</v>
      </c>
      <c r="B25" s="184"/>
      <c r="C25" s="186"/>
      <c r="D25" s="186"/>
      <c r="E25" s="186"/>
      <c r="F25" s="186"/>
      <c r="G25" s="186"/>
      <c r="H25" s="186"/>
      <c r="I25" s="191">
        <v>7000</v>
      </c>
      <c r="J25" s="185">
        <f t="shared" si="1"/>
        <v>7000</v>
      </c>
      <c r="K25" s="185">
        <f t="shared" si="0"/>
        <v>7000</v>
      </c>
    </row>
    <row r="26" spans="1:11" x14ac:dyDescent="0.2">
      <c r="A26" s="49" t="s">
        <v>135</v>
      </c>
      <c r="B26" s="48">
        <v>9000</v>
      </c>
      <c r="C26" s="48" t="s">
        <v>12</v>
      </c>
      <c r="D26" s="48" t="s">
        <v>12</v>
      </c>
      <c r="E26" s="48" t="s">
        <v>12</v>
      </c>
      <c r="F26" s="48" t="s">
        <v>12</v>
      </c>
      <c r="G26" s="48" t="s">
        <v>12</v>
      </c>
      <c r="H26" s="48" t="s">
        <v>12</v>
      </c>
      <c r="I26" s="50">
        <f>SUM(I7:I25)</f>
        <v>599889.28</v>
      </c>
      <c r="J26" s="50">
        <f>SUM(J7:J25)</f>
        <v>599889.28</v>
      </c>
      <c r="K26" s="50">
        <f>SUM(K7:K25)</f>
        <v>599889.28</v>
      </c>
    </row>
    <row r="27" spans="1:11" x14ac:dyDescent="0.2">
      <c r="I27" s="45"/>
    </row>
    <row r="29" spans="1:11" ht="15.75" x14ac:dyDescent="0.25">
      <c r="A29" s="46" t="s">
        <v>431</v>
      </c>
      <c r="B29" s="46" t="s">
        <v>375</v>
      </c>
      <c r="C29" s="46" t="s">
        <v>376</v>
      </c>
      <c r="D29" s="47">
        <v>621</v>
      </c>
      <c r="E29" s="46"/>
      <c r="F29" s="46"/>
      <c r="G29" s="46"/>
      <c r="H29" s="46"/>
      <c r="I29" s="46"/>
      <c r="J29" s="46"/>
      <c r="K29" s="46"/>
    </row>
    <row r="30" spans="1:11" x14ac:dyDescent="0.2">
      <c r="A30" s="241" t="s">
        <v>216</v>
      </c>
      <c r="B30" s="241" t="s">
        <v>1</v>
      </c>
      <c r="C30" s="247" t="s">
        <v>267</v>
      </c>
      <c r="D30" s="247"/>
      <c r="E30" s="247"/>
      <c r="F30" s="247" t="s">
        <v>268</v>
      </c>
      <c r="G30" s="247"/>
      <c r="H30" s="247"/>
      <c r="I30" s="247" t="s">
        <v>115</v>
      </c>
      <c r="J30" s="247"/>
      <c r="K30" s="247"/>
    </row>
    <row r="31" spans="1:11" x14ac:dyDescent="0.2">
      <c r="A31" s="241"/>
      <c r="B31" s="241"/>
      <c r="C31" s="204" t="s">
        <v>418</v>
      </c>
      <c r="D31" s="204" t="s">
        <v>451</v>
      </c>
      <c r="E31" s="204" t="s">
        <v>590</v>
      </c>
      <c r="F31" s="204" t="s">
        <v>418</v>
      </c>
      <c r="G31" s="204" t="s">
        <v>451</v>
      </c>
      <c r="H31" s="204" t="s">
        <v>590</v>
      </c>
      <c r="I31" s="204" t="s">
        <v>418</v>
      </c>
      <c r="J31" s="204" t="s">
        <v>451</v>
      </c>
      <c r="K31" s="204" t="s">
        <v>590</v>
      </c>
    </row>
    <row r="32" spans="1:11" ht="38.25" x14ac:dyDescent="0.2">
      <c r="A32" s="241"/>
      <c r="B32" s="241"/>
      <c r="C32" s="48" t="s">
        <v>75</v>
      </c>
      <c r="D32" s="48" t="s">
        <v>76</v>
      </c>
      <c r="E32" s="48" t="s">
        <v>77</v>
      </c>
      <c r="F32" s="48" t="s">
        <v>75</v>
      </c>
      <c r="G32" s="48" t="s">
        <v>76</v>
      </c>
      <c r="H32" s="48" t="s">
        <v>77</v>
      </c>
      <c r="I32" s="48" t="s">
        <v>75</v>
      </c>
      <c r="J32" s="48" t="s">
        <v>76</v>
      </c>
      <c r="K32" s="48" t="s">
        <v>77</v>
      </c>
    </row>
    <row r="33" spans="1:11" x14ac:dyDescent="0.2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  <c r="K33" s="2">
        <v>11</v>
      </c>
    </row>
    <row r="34" spans="1:11" x14ac:dyDescent="0.2">
      <c r="A34" s="6" t="s">
        <v>432</v>
      </c>
      <c r="B34" s="178" t="s">
        <v>486</v>
      </c>
      <c r="C34" s="6">
        <v>1</v>
      </c>
      <c r="D34" s="6"/>
      <c r="E34" s="6"/>
      <c r="F34" s="6">
        <v>1</v>
      </c>
      <c r="G34" s="6"/>
      <c r="H34" s="6"/>
      <c r="I34" s="5"/>
      <c r="J34" s="5"/>
      <c r="K34" s="5"/>
    </row>
    <row r="35" spans="1:11" hidden="1" x14ac:dyDescent="0.2">
      <c r="A35" s="6"/>
      <c r="B35" s="2">
        <f>B34+1</f>
        <v>2</v>
      </c>
      <c r="C35" s="6">
        <v>1</v>
      </c>
      <c r="D35" s="6"/>
      <c r="E35" s="6"/>
      <c r="F35" s="6">
        <v>1</v>
      </c>
      <c r="G35" s="6"/>
      <c r="H35" s="6"/>
      <c r="I35" s="21"/>
      <c r="J35" s="5"/>
      <c r="K35" s="5"/>
    </row>
    <row r="36" spans="1:11" hidden="1" x14ac:dyDescent="0.2">
      <c r="A36" s="6"/>
      <c r="B36" s="2">
        <f t="shared" ref="B36" si="2">B35+1</f>
        <v>3</v>
      </c>
      <c r="C36" s="6">
        <v>1</v>
      </c>
      <c r="D36" s="6"/>
      <c r="E36" s="6"/>
      <c r="F36" s="6">
        <v>1</v>
      </c>
      <c r="G36" s="6"/>
      <c r="H36" s="6"/>
      <c r="I36" s="5"/>
      <c r="J36" s="5"/>
      <c r="K36" s="5"/>
    </row>
    <row r="37" spans="1:11" hidden="1" x14ac:dyDescent="0.2">
      <c r="A37" s="6"/>
      <c r="B37" s="2">
        <v>4</v>
      </c>
      <c r="C37" s="6">
        <v>1</v>
      </c>
      <c r="D37" s="6"/>
      <c r="E37" s="6"/>
      <c r="F37" s="6">
        <v>1</v>
      </c>
      <c r="G37" s="6"/>
      <c r="H37" s="6"/>
      <c r="I37" s="5"/>
      <c r="J37" s="5"/>
      <c r="K37" s="5"/>
    </row>
    <row r="38" spans="1:11" x14ac:dyDescent="0.2">
      <c r="A38" s="49" t="s">
        <v>135</v>
      </c>
      <c r="B38" s="48">
        <v>9000</v>
      </c>
      <c r="C38" s="48" t="s">
        <v>12</v>
      </c>
      <c r="D38" s="48" t="s">
        <v>12</v>
      </c>
      <c r="E38" s="48" t="s">
        <v>12</v>
      </c>
      <c r="F38" s="48" t="s">
        <v>12</v>
      </c>
      <c r="G38" s="48" t="s">
        <v>12</v>
      </c>
      <c r="H38" s="48" t="s">
        <v>12</v>
      </c>
      <c r="I38" s="50">
        <f>SUM(I34:I37)</f>
        <v>0</v>
      </c>
      <c r="J38" s="50">
        <f>SUM(J34:J36)</f>
        <v>0</v>
      </c>
      <c r="K38" s="50">
        <f>SUM(K34:K36)</f>
        <v>0</v>
      </c>
    </row>
    <row r="41" spans="1:11" ht="15.75" x14ac:dyDescent="0.25">
      <c r="A41" s="46" t="s">
        <v>440</v>
      </c>
      <c r="B41" s="46" t="s">
        <v>375</v>
      </c>
      <c r="C41" s="46" t="s">
        <v>441</v>
      </c>
      <c r="D41" s="47">
        <v>622</v>
      </c>
      <c r="E41" s="46"/>
      <c r="F41" s="46"/>
      <c r="G41" s="46"/>
      <c r="H41" s="46"/>
      <c r="I41" s="46"/>
      <c r="J41" s="46"/>
      <c r="K41" s="46"/>
    </row>
    <row r="42" spans="1:11" ht="12.75" customHeight="1" x14ac:dyDescent="0.2">
      <c r="A42" s="268" t="s">
        <v>216</v>
      </c>
      <c r="B42" s="268" t="s">
        <v>1</v>
      </c>
      <c r="C42" s="288" t="s">
        <v>267</v>
      </c>
      <c r="D42" s="289"/>
      <c r="E42" s="290"/>
      <c r="F42" s="288" t="s">
        <v>268</v>
      </c>
      <c r="G42" s="289"/>
      <c r="H42" s="290"/>
      <c r="I42" s="247" t="s">
        <v>115</v>
      </c>
      <c r="J42" s="247"/>
      <c r="K42" s="247"/>
    </row>
    <row r="43" spans="1:11" x14ac:dyDescent="0.2">
      <c r="A43" s="269"/>
      <c r="B43" s="269"/>
      <c r="C43" s="204" t="s">
        <v>418</v>
      </c>
      <c r="D43" s="204" t="s">
        <v>451</v>
      </c>
      <c r="E43" s="204" t="s">
        <v>590</v>
      </c>
      <c r="F43" s="204" t="s">
        <v>418</v>
      </c>
      <c r="G43" s="204" t="s">
        <v>451</v>
      </c>
      <c r="H43" s="204" t="s">
        <v>590</v>
      </c>
      <c r="I43" s="204" t="s">
        <v>418</v>
      </c>
      <c r="J43" s="204" t="s">
        <v>451</v>
      </c>
      <c r="K43" s="204" t="s">
        <v>590</v>
      </c>
    </row>
    <row r="44" spans="1:11" ht="38.25" x14ac:dyDescent="0.2">
      <c r="A44" s="270"/>
      <c r="B44" s="270"/>
      <c r="C44" s="48" t="s">
        <v>75</v>
      </c>
      <c r="D44" s="48" t="s">
        <v>76</v>
      </c>
      <c r="E44" s="48" t="s">
        <v>77</v>
      </c>
      <c r="F44" s="48" t="s">
        <v>75</v>
      </c>
      <c r="G44" s="48" t="s">
        <v>76</v>
      </c>
      <c r="H44" s="48" t="s">
        <v>77</v>
      </c>
      <c r="I44" s="48" t="s">
        <v>75</v>
      </c>
      <c r="J44" s="48" t="s">
        <v>76</v>
      </c>
      <c r="K44" s="48" t="s">
        <v>77</v>
      </c>
    </row>
    <row r="45" spans="1:11" x14ac:dyDescent="0.2">
      <c r="A45" s="2">
        <v>1</v>
      </c>
      <c r="B45" s="2">
        <v>2</v>
      </c>
      <c r="C45" s="2">
        <v>3</v>
      </c>
      <c r="D45" s="2">
        <v>4</v>
      </c>
      <c r="E45" s="2">
        <v>5</v>
      </c>
      <c r="F45" s="2">
        <v>6</v>
      </c>
      <c r="G45" s="2">
        <v>7</v>
      </c>
      <c r="H45" s="2">
        <v>8</v>
      </c>
      <c r="I45" s="2">
        <v>9</v>
      </c>
      <c r="J45" s="2">
        <v>10</v>
      </c>
      <c r="K45" s="2">
        <v>11</v>
      </c>
    </row>
    <row r="46" spans="1:11" x14ac:dyDescent="0.2">
      <c r="A46" s="6" t="s">
        <v>442</v>
      </c>
      <c r="B46" s="178" t="s">
        <v>486</v>
      </c>
      <c r="C46" s="6">
        <v>1</v>
      </c>
      <c r="D46" s="6"/>
      <c r="E46" s="6"/>
      <c r="F46" s="6">
        <v>1</v>
      </c>
      <c r="G46" s="6"/>
      <c r="H46" s="6"/>
      <c r="I46" s="5"/>
      <c r="J46" s="5"/>
      <c r="K46" s="5"/>
    </row>
    <row r="47" spans="1:11" x14ac:dyDescent="0.2">
      <c r="A47" s="49" t="s">
        <v>135</v>
      </c>
      <c r="B47" s="48">
        <v>9000</v>
      </c>
      <c r="C47" s="48" t="s">
        <v>12</v>
      </c>
      <c r="D47" s="48" t="s">
        <v>12</v>
      </c>
      <c r="E47" s="48" t="s">
        <v>12</v>
      </c>
      <c r="F47" s="48" t="s">
        <v>12</v>
      </c>
      <c r="G47" s="48" t="s">
        <v>12</v>
      </c>
      <c r="H47" s="48" t="s">
        <v>12</v>
      </c>
      <c r="I47" s="50">
        <f>SUM(I46:I46)</f>
        <v>0</v>
      </c>
      <c r="J47" s="50"/>
      <c r="K47" s="50">
        <f>SUM(K46:K46)</f>
        <v>0</v>
      </c>
    </row>
    <row r="50" spans="1:11" ht="15.75" x14ac:dyDescent="0.25">
      <c r="A50" s="46" t="s">
        <v>443</v>
      </c>
      <c r="B50" s="46" t="s">
        <v>375</v>
      </c>
      <c r="C50" s="46" t="s">
        <v>376</v>
      </c>
      <c r="D50" s="47">
        <v>622</v>
      </c>
      <c r="E50" s="46"/>
      <c r="F50" s="46"/>
      <c r="G50" s="46"/>
      <c r="H50" s="46"/>
      <c r="I50" s="46"/>
      <c r="J50" s="46"/>
      <c r="K50" s="46"/>
    </row>
    <row r="51" spans="1:11" x14ac:dyDescent="0.2">
      <c r="A51" s="241" t="s">
        <v>216</v>
      </c>
      <c r="B51" s="241" t="s">
        <v>1</v>
      </c>
      <c r="C51" s="247" t="s">
        <v>267</v>
      </c>
      <c r="D51" s="247"/>
      <c r="E51" s="247"/>
      <c r="F51" s="247" t="s">
        <v>268</v>
      </c>
      <c r="G51" s="247"/>
      <c r="H51" s="247"/>
      <c r="I51" s="247" t="s">
        <v>115</v>
      </c>
      <c r="J51" s="247"/>
      <c r="K51" s="247"/>
    </row>
    <row r="52" spans="1:11" x14ac:dyDescent="0.2">
      <c r="A52" s="241"/>
      <c r="B52" s="241"/>
      <c r="C52" s="204" t="s">
        <v>418</v>
      </c>
      <c r="D52" s="204" t="s">
        <v>451</v>
      </c>
      <c r="E52" s="204" t="s">
        <v>590</v>
      </c>
      <c r="F52" s="204" t="s">
        <v>418</v>
      </c>
      <c r="G52" s="204" t="s">
        <v>451</v>
      </c>
      <c r="H52" s="204" t="s">
        <v>590</v>
      </c>
      <c r="I52" s="204" t="s">
        <v>418</v>
      </c>
      <c r="J52" s="204" t="s">
        <v>451</v>
      </c>
      <c r="K52" s="204" t="s">
        <v>590</v>
      </c>
    </row>
    <row r="53" spans="1:11" ht="38.25" x14ac:dyDescent="0.2">
      <c r="A53" s="241"/>
      <c r="B53" s="241"/>
      <c r="C53" s="48" t="s">
        <v>75</v>
      </c>
      <c r="D53" s="48" t="s">
        <v>76</v>
      </c>
      <c r="E53" s="48" t="s">
        <v>77</v>
      </c>
      <c r="F53" s="48" t="s">
        <v>75</v>
      </c>
      <c r="G53" s="48" t="s">
        <v>76</v>
      </c>
      <c r="H53" s="48" t="s">
        <v>77</v>
      </c>
      <c r="I53" s="48" t="s">
        <v>75</v>
      </c>
      <c r="J53" s="48" t="s">
        <v>76</v>
      </c>
      <c r="K53" s="48" t="s">
        <v>77</v>
      </c>
    </row>
    <row r="54" spans="1:11" x14ac:dyDescent="0.2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  <c r="G54" s="2">
        <v>7</v>
      </c>
      <c r="H54" s="2">
        <v>8</v>
      </c>
      <c r="I54" s="2">
        <v>9</v>
      </c>
      <c r="J54" s="2">
        <v>10</v>
      </c>
      <c r="K54" s="2">
        <v>11</v>
      </c>
    </row>
    <row r="55" spans="1:11" x14ac:dyDescent="0.2">
      <c r="A55" s="6" t="s">
        <v>445</v>
      </c>
      <c r="B55" s="178" t="s">
        <v>486</v>
      </c>
      <c r="C55" s="6">
        <v>1</v>
      </c>
      <c r="D55" s="6"/>
      <c r="E55" s="6"/>
      <c r="F55" s="6">
        <v>1</v>
      </c>
      <c r="G55" s="6"/>
      <c r="H55" s="6"/>
      <c r="I55" s="5"/>
      <c r="J55" s="5"/>
      <c r="K55" s="5"/>
    </row>
    <row r="56" spans="1:11" hidden="1" x14ac:dyDescent="0.2">
      <c r="A56" s="6"/>
      <c r="B56" s="2">
        <f>B55+1</f>
        <v>2</v>
      </c>
      <c r="C56" s="6">
        <v>1</v>
      </c>
      <c r="D56" s="6"/>
      <c r="E56" s="6"/>
      <c r="F56" s="6">
        <v>1</v>
      </c>
      <c r="G56" s="6"/>
      <c r="H56" s="6"/>
      <c r="I56" s="21"/>
      <c r="J56" s="5"/>
      <c r="K56" s="5"/>
    </row>
    <row r="57" spans="1:11" hidden="1" x14ac:dyDescent="0.2">
      <c r="A57" s="6"/>
      <c r="B57" s="2">
        <f t="shared" ref="B57" si="3">B56+1</f>
        <v>3</v>
      </c>
      <c r="C57" s="6">
        <v>1</v>
      </c>
      <c r="D57" s="6"/>
      <c r="E57" s="6"/>
      <c r="F57" s="6">
        <v>1</v>
      </c>
      <c r="G57" s="6"/>
      <c r="H57" s="6"/>
      <c r="I57" s="5"/>
      <c r="J57" s="5"/>
      <c r="K57" s="5"/>
    </row>
    <row r="58" spans="1:11" hidden="1" x14ac:dyDescent="0.2">
      <c r="A58" s="6"/>
      <c r="B58" s="2">
        <v>4</v>
      </c>
      <c r="C58" s="6">
        <v>1</v>
      </c>
      <c r="D58" s="6"/>
      <c r="E58" s="6"/>
      <c r="F58" s="6">
        <v>1</v>
      </c>
      <c r="G58" s="6"/>
      <c r="H58" s="6"/>
      <c r="I58" s="5"/>
      <c r="J58" s="5"/>
      <c r="K58" s="5"/>
    </row>
    <row r="59" spans="1:11" x14ac:dyDescent="0.2">
      <c r="A59" s="49" t="s">
        <v>135</v>
      </c>
      <c r="B59" s="48">
        <v>9000</v>
      </c>
      <c r="C59" s="48" t="s">
        <v>12</v>
      </c>
      <c r="D59" s="48" t="s">
        <v>12</v>
      </c>
      <c r="E59" s="48" t="s">
        <v>12</v>
      </c>
      <c r="F59" s="48" t="s">
        <v>12</v>
      </c>
      <c r="G59" s="48" t="s">
        <v>12</v>
      </c>
      <c r="H59" s="48" t="s">
        <v>12</v>
      </c>
      <c r="I59" s="50">
        <f>I55</f>
        <v>0</v>
      </c>
      <c r="J59" s="50">
        <f>SUM(J55:J57)</f>
        <v>0</v>
      </c>
      <c r="K59" s="50">
        <f>SUM(K55:K57)</f>
        <v>0</v>
      </c>
    </row>
  </sheetData>
  <mergeCells count="20">
    <mergeCell ref="A30:A32"/>
    <mergeCell ref="B30:B32"/>
    <mergeCell ref="C30:E30"/>
    <mergeCell ref="F30:H30"/>
    <mergeCell ref="I30:K30"/>
    <mergeCell ref="A4:A6"/>
    <mergeCell ref="B4:B6"/>
    <mergeCell ref="C4:E4"/>
    <mergeCell ref="F4:H4"/>
    <mergeCell ref="I4:K4"/>
    <mergeCell ref="A42:A44"/>
    <mergeCell ref="B42:B44"/>
    <mergeCell ref="C42:E42"/>
    <mergeCell ref="F42:H42"/>
    <mergeCell ref="I42:K42"/>
    <mergeCell ref="A51:A53"/>
    <mergeCell ref="B51:B53"/>
    <mergeCell ref="C51:E51"/>
    <mergeCell ref="F51:H51"/>
    <mergeCell ref="I51:K51"/>
  </mergeCells>
  <pageMargins left="0.7" right="0.7" top="0.75" bottom="0.75" header="0.3" footer="0.3"/>
  <pageSetup paperSize="9" scale="6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workbookViewId="0">
      <selection activeCell="F16" sqref="F16"/>
    </sheetView>
  </sheetViews>
  <sheetFormatPr defaultRowHeight="12.75" x14ac:dyDescent="0.2"/>
  <cols>
    <col min="1" max="1" width="18.5703125" style="3" customWidth="1"/>
    <col min="2" max="2" width="9.140625" style="3"/>
    <col min="3" max="11" width="18.140625" style="3" customWidth="1"/>
    <col min="12" max="16384" width="9.140625" style="3"/>
  </cols>
  <sheetData>
    <row r="1" spans="1:11" x14ac:dyDescent="0.2">
      <c r="A1" s="3" t="s">
        <v>272</v>
      </c>
    </row>
    <row r="2" spans="1:11" ht="82.5" customHeight="1" x14ac:dyDescent="0.2">
      <c r="A2" s="241" t="s">
        <v>216</v>
      </c>
      <c r="B2" s="241" t="s">
        <v>1</v>
      </c>
      <c r="C2" s="241" t="s">
        <v>270</v>
      </c>
      <c r="D2" s="241"/>
      <c r="E2" s="241"/>
      <c r="F2" s="241" t="s">
        <v>271</v>
      </c>
      <c r="G2" s="241"/>
      <c r="H2" s="241"/>
      <c r="I2" s="241" t="s">
        <v>115</v>
      </c>
      <c r="J2" s="241"/>
      <c r="K2" s="241"/>
    </row>
    <row r="3" spans="1:11" x14ac:dyDescent="0.2">
      <c r="A3" s="241"/>
      <c r="B3" s="241"/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ht="25.5" x14ac:dyDescent="0.2">
      <c r="A4" s="241"/>
      <c r="B4" s="241"/>
      <c r="C4" s="2" t="s">
        <v>75</v>
      </c>
      <c r="D4" s="2" t="s">
        <v>76</v>
      </c>
      <c r="E4" s="2" t="s">
        <v>77</v>
      </c>
      <c r="F4" s="2" t="s">
        <v>75</v>
      </c>
      <c r="G4" s="2" t="s">
        <v>76</v>
      </c>
      <c r="H4" s="2" t="s">
        <v>77</v>
      </c>
      <c r="I4" s="2" t="s">
        <v>75</v>
      </c>
      <c r="J4" s="2" t="s">
        <v>76</v>
      </c>
      <c r="K4" s="2" t="s">
        <v>77</v>
      </c>
    </row>
    <row r="5" spans="1:1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x14ac:dyDescent="0.2">
      <c r="A6" s="6"/>
      <c r="B6" s="2">
        <v>1</v>
      </c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6"/>
      <c r="B7" s="2">
        <v>2</v>
      </c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6" t="s">
        <v>135</v>
      </c>
      <c r="B9" s="2">
        <v>9000</v>
      </c>
      <c r="C9" s="2" t="s">
        <v>12</v>
      </c>
      <c r="D9" s="2" t="s">
        <v>12</v>
      </c>
      <c r="E9" s="2" t="s">
        <v>12</v>
      </c>
      <c r="F9" s="2" t="s">
        <v>12</v>
      </c>
      <c r="G9" s="2" t="s">
        <v>12</v>
      </c>
      <c r="H9" s="2" t="s">
        <v>12</v>
      </c>
      <c r="I9" s="6"/>
      <c r="J9" s="6"/>
      <c r="K9" s="6"/>
    </row>
  </sheetData>
  <mergeCells count="5">
    <mergeCell ref="A2:A4"/>
    <mergeCell ref="B2:B4"/>
    <mergeCell ref="C2:E2"/>
    <mergeCell ref="F2:H2"/>
    <mergeCell ref="I2:K2"/>
  </mergeCells>
  <pageMargins left="0.7" right="0.7" top="0.75" bottom="0.75" header="0.3" footer="0.3"/>
  <pageSetup paperSize="9" scale="68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"/>
  <sheetViews>
    <sheetView workbookViewId="0">
      <selection activeCell="E26" sqref="E26"/>
    </sheetView>
  </sheetViews>
  <sheetFormatPr defaultRowHeight="12.75" x14ac:dyDescent="0.2"/>
  <cols>
    <col min="1" max="1" width="19.5703125" style="3" customWidth="1"/>
    <col min="2" max="2" width="9.140625" style="3"/>
    <col min="3" max="11" width="14.5703125" style="3" customWidth="1"/>
    <col min="12" max="16384" width="9.140625" style="3"/>
  </cols>
  <sheetData>
    <row r="1" spans="1:11" x14ac:dyDescent="0.2">
      <c r="A1" s="3" t="s">
        <v>275</v>
      </c>
    </row>
    <row r="3" spans="1:11" ht="25.5" customHeight="1" x14ac:dyDescent="0.2">
      <c r="A3" s="241" t="s">
        <v>216</v>
      </c>
      <c r="B3" s="241" t="s">
        <v>1</v>
      </c>
      <c r="C3" s="241" t="s">
        <v>273</v>
      </c>
      <c r="D3" s="241"/>
      <c r="E3" s="241"/>
      <c r="F3" s="241" t="s">
        <v>274</v>
      </c>
      <c r="G3" s="241"/>
      <c r="H3" s="241"/>
      <c r="I3" s="241" t="s">
        <v>115</v>
      </c>
      <c r="J3" s="241"/>
      <c r="K3" s="241"/>
    </row>
    <row r="4" spans="1:11" x14ac:dyDescent="0.2">
      <c r="A4" s="241"/>
      <c r="B4" s="241"/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ht="38.25" x14ac:dyDescent="0.2">
      <c r="A5" s="241"/>
      <c r="B5" s="241"/>
      <c r="C5" s="2" t="s">
        <v>75</v>
      </c>
      <c r="D5" s="2" t="s">
        <v>76</v>
      </c>
      <c r="E5" s="2" t="s">
        <v>77</v>
      </c>
      <c r="F5" s="2" t="s">
        <v>75</v>
      </c>
      <c r="G5" s="2" t="s">
        <v>76</v>
      </c>
      <c r="H5" s="2" t="s">
        <v>77</v>
      </c>
      <c r="I5" s="2" t="s">
        <v>75</v>
      </c>
      <c r="J5" s="2" t="s">
        <v>76</v>
      </c>
      <c r="K5" s="2" t="s">
        <v>77</v>
      </c>
    </row>
    <row r="6" spans="1:1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x14ac:dyDescent="0.2">
      <c r="A7" s="6"/>
      <c r="B7" s="2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6"/>
      <c r="B8" s="2">
        <v>2</v>
      </c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A10" s="6" t="s">
        <v>135</v>
      </c>
      <c r="B10" s="2">
        <v>9000</v>
      </c>
      <c r="C10" s="2" t="s">
        <v>12</v>
      </c>
      <c r="D10" s="2" t="s">
        <v>12</v>
      </c>
      <c r="E10" s="2" t="s">
        <v>12</v>
      </c>
      <c r="F10" s="2" t="s">
        <v>12</v>
      </c>
      <c r="G10" s="2" t="s">
        <v>12</v>
      </c>
      <c r="H10" s="2" t="s">
        <v>12</v>
      </c>
      <c r="I10" s="6"/>
      <c r="J10" s="6"/>
      <c r="K10" s="6"/>
    </row>
  </sheetData>
  <mergeCells count="5">
    <mergeCell ref="A3:A5"/>
    <mergeCell ref="B3:B5"/>
    <mergeCell ref="C3:E3"/>
    <mergeCell ref="F3:H3"/>
    <mergeCell ref="I3:K3"/>
  </mergeCells>
  <pageMargins left="0.7" right="0.7" top="0.75" bottom="0.75" header="0.3" footer="0.3"/>
  <pageSetup paperSize="9" scale="82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79"/>
  <sheetViews>
    <sheetView topLeftCell="A38" workbookViewId="0">
      <selection activeCell="C55" sqref="C55:H55"/>
    </sheetView>
  </sheetViews>
  <sheetFormatPr defaultRowHeight="12.75" x14ac:dyDescent="0.2"/>
  <cols>
    <col min="1" max="1" width="34" style="3" customWidth="1"/>
    <col min="2" max="2" width="10.140625" style="3" customWidth="1"/>
    <col min="3" max="8" width="15.140625" style="3" customWidth="1"/>
    <col min="9" max="16384" width="9.140625" style="3"/>
  </cols>
  <sheetData>
    <row r="1" spans="1:8" ht="15.75" x14ac:dyDescent="0.25">
      <c r="A1" s="46" t="s">
        <v>291</v>
      </c>
      <c r="B1" s="46"/>
      <c r="C1" s="46"/>
      <c r="D1" s="46"/>
      <c r="E1" s="46"/>
      <c r="F1" s="46"/>
      <c r="G1" s="46"/>
      <c r="H1" s="46"/>
    </row>
    <row r="2" spans="1:8" ht="15.75" x14ac:dyDescent="0.25">
      <c r="A2" s="46" t="s">
        <v>377</v>
      </c>
      <c r="B2" s="46" t="s">
        <v>375</v>
      </c>
      <c r="C2" s="46" t="s">
        <v>376</v>
      </c>
      <c r="D2" s="47">
        <v>621</v>
      </c>
      <c r="E2" s="46"/>
      <c r="F2" s="46"/>
      <c r="G2" s="46"/>
      <c r="H2" s="46"/>
    </row>
    <row r="3" spans="1:8" x14ac:dyDescent="0.2">
      <c r="A3" s="241" t="s">
        <v>216</v>
      </c>
      <c r="B3" s="241" t="s">
        <v>1</v>
      </c>
      <c r="C3" s="247" t="s">
        <v>292</v>
      </c>
      <c r="D3" s="247"/>
      <c r="E3" s="247"/>
      <c r="F3" s="247" t="s">
        <v>293</v>
      </c>
      <c r="G3" s="247"/>
      <c r="H3" s="247"/>
    </row>
    <row r="4" spans="1:8" x14ac:dyDescent="0.2">
      <c r="A4" s="241"/>
      <c r="B4" s="241"/>
      <c r="C4" s="48" t="s">
        <v>418</v>
      </c>
      <c r="D4" s="48" t="s">
        <v>451</v>
      </c>
      <c r="E4" s="48" t="s">
        <v>594</v>
      </c>
      <c r="F4" s="204" t="s">
        <v>418</v>
      </c>
      <c r="G4" s="204" t="s">
        <v>451</v>
      </c>
      <c r="H4" s="204" t="s">
        <v>594</v>
      </c>
    </row>
    <row r="5" spans="1:8" ht="38.25" x14ac:dyDescent="0.2">
      <c r="A5" s="241"/>
      <c r="B5" s="241"/>
      <c r="C5" s="48" t="s">
        <v>75</v>
      </c>
      <c r="D5" s="48" t="s">
        <v>76</v>
      </c>
      <c r="E5" s="48" t="s">
        <v>77</v>
      </c>
      <c r="F5" s="48" t="s">
        <v>75</v>
      </c>
      <c r="G5" s="48" t="s">
        <v>76</v>
      </c>
      <c r="H5" s="48" t="s">
        <v>77</v>
      </c>
    </row>
    <row r="6" spans="1:8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9</v>
      </c>
      <c r="G6" s="2">
        <v>10</v>
      </c>
      <c r="H6" s="2">
        <v>11</v>
      </c>
    </row>
    <row r="7" spans="1:8" x14ac:dyDescent="0.2">
      <c r="A7" s="192" t="s">
        <v>559</v>
      </c>
      <c r="B7" s="178" t="s">
        <v>486</v>
      </c>
      <c r="C7" s="6">
        <v>1</v>
      </c>
      <c r="D7" s="6">
        <v>1</v>
      </c>
      <c r="E7" s="6">
        <v>1</v>
      </c>
      <c r="F7" s="189">
        <v>12600</v>
      </c>
      <c r="G7" s="5">
        <f>F7</f>
        <v>12600</v>
      </c>
      <c r="H7" s="5">
        <f>G7</f>
        <v>12600</v>
      </c>
    </row>
    <row r="8" spans="1:8" x14ac:dyDescent="0.2">
      <c r="A8" s="188" t="s">
        <v>560</v>
      </c>
      <c r="B8" s="178" t="s">
        <v>487</v>
      </c>
      <c r="C8" s="6">
        <v>1</v>
      </c>
      <c r="D8" s="6">
        <v>1</v>
      </c>
      <c r="E8" s="6">
        <v>1</v>
      </c>
      <c r="F8" s="189">
        <v>6000</v>
      </c>
      <c r="G8" s="185">
        <f t="shared" ref="G8:G17" si="0">F8</f>
        <v>6000</v>
      </c>
      <c r="H8" s="5">
        <f t="shared" ref="H8:H17" si="1">G8</f>
        <v>6000</v>
      </c>
    </row>
    <row r="9" spans="1:8" x14ac:dyDescent="0.2">
      <c r="A9" s="188" t="s">
        <v>303</v>
      </c>
      <c r="B9" s="178" t="s">
        <v>488</v>
      </c>
      <c r="C9" s="6">
        <v>1</v>
      </c>
      <c r="D9" s="6">
        <v>1</v>
      </c>
      <c r="E9" s="6">
        <v>1</v>
      </c>
      <c r="F9" s="189">
        <v>10000</v>
      </c>
      <c r="G9" s="185">
        <f t="shared" si="0"/>
        <v>10000</v>
      </c>
      <c r="H9" s="5">
        <f t="shared" si="1"/>
        <v>10000</v>
      </c>
    </row>
    <row r="10" spans="1:8" ht="25.5" x14ac:dyDescent="0.2">
      <c r="A10" s="188" t="s">
        <v>561</v>
      </c>
      <c r="B10" s="178" t="s">
        <v>511</v>
      </c>
      <c r="C10" s="6">
        <v>1</v>
      </c>
      <c r="D10" s="6">
        <v>1</v>
      </c>
      <c r="E10" s="6">
        <v>1</v>
      </c>
      <c r="F10" s="189">
        <v>36000</v>
      </c>
      <c r="G10" s="185">
        <f t="shared" si="0"/>
        <v>36000</v>
      </c>
      <c r="H10" s="5">
        <f t="shared" si="1"/>
        <v>36000</v>
      </c>
    </row>
    <row r="11" spans="1:8" x14ac:dyDescent="0.2">
      <c r="A11" s="193" t="s">
        <v>562</v>
      </c>
      <c r="B11" s="178" t="s">
        <v>512</v>
      </c>
      <c r="C11" s="6">
        <v>1</v>
      </c>
      <c r="D11" s="6">
        <v>1</v>
      </c>
      <c r="E11" s="6">
        <v>1</v>
      </c>
      <c r="F11" s="189">
        <v>9000</v>
      </c>
      <c r="G11" s="185">
        <f t="shared" si="0"/>
        <v>9000</v>
      </c>
      <c r="H11" s="5">
        <f t="shared" si="1"/>
        <v>9000</v>
      </c>
    </row>
    <row r="12" spans="1:8" x14ac:dyDescent="0.2">
      <c r="A12" s="188" t="s">
        <v>563</v>
      </c>
      <c r="B12" s="178" t="s">
        <v>513</v>
      </c>
      <c r="C12" s="6">
        <v>1</v>
      </c>
      <c r="D12" s="6">
        <v>1</v>
      </c>
      <c r="E12" s="6">
        <v>1</v>
      </c>
      <c r="F12" s="189">
        <v>24000</v>
      </c>
      <c r="G12" s="185">
        <f t="shared" si="0"/>
        <v>24000</v>
      </c>
      <c r="H12" s="5">
        <f t="shared" si="1"/>
        <v>24000</v>
      </c>
    </row>
    <row r="13" spans="1:8" ht="25.5" x14ac:dyDescent="0.2">
      <c r="A13" s="188" t="s">
        <v>564</v>
      </c>
      <c r="B13" s="178" t="s">
        <v>514</v>
      </c>
      <c r="C13" s="6">
        <v>1</v>
      </c>
      <c r="D13" s="6">
        <v>1</v>
      </c>
      <c r="E13" s="6">
        <v>1</v>
      </c>
      <c r="F13" s="189">
        <v>63000</v>
      </c>
      <c r="G13" s="185">
        <f t="shared" si="0"/>
        <v>63000</v>
      </c>
      <c r="H13" s="5">
        <f t="shared" si="1"/>
        <v>63000</v>
      </c>
    </row>
    <row r="14" spans="1:8" ht="25.5" x14ac:dyDescent="0.2">
      <c r="A14" s="188" t="s">
        <v>565</v>
      </c>
      <c r="B14" s="178" t="s">
        <v>515</v>
      </c>
      <c r="C14" s="6">
        <v>1</v>
      </c>
      <c r="D14" s="6">
        <v>1</v>
      </c>
      <c r="E14" s="6">
        <v>1</v>
      </c>
      <c r="F14" s="189">
        <v>12000</v>
      </c>
      <c r="G14" s="185">
        <f t="shared" si="0"/>
        <v>12000</v>
      </c>
      <c r="H14" s="5">
        <f t="shared" si="1"/>
        <v>12000</v>
      </c>
    </row>
    <row r="15" spans="1:8" x14ac:dyDescent="0.2">
      <c r="A15" s="188" t="s">
        <v>566</v>
      </c>
      <c r="B15" s="178" t="s">
        <v>516</v>
      </c>
      <c r="C15" s="6">
        <v>1</v>
      </c>
      <c r="D15" s="6">
        <v>1</v>
      </c>
      <c r="E15" s="6">
        <v>1</v>
      </c>
      <c r="F15" s="189">
        <v>117800</v>
      </c>
      <c r="G15" s="185">
        <f t="shared" si="0"/>
        <v>117800</v>
      </c>
      <c r="H15" s="5">
        <f t="shared" si="1"/>
        <v>117800</v>
      </c>
    </row>
    <row r="16" spans="1:8" x14ac:dyDescent="0.2">
      <c r="A16" s="188" t="s">
        <v>567</v>
      </c>
      <c r="B16" s="178" t="s">
        <v>517</v>
      </c>
      <c r="C16" s="6">
        <v>1</v>
      </c>
      <c r="D16" s="6">
        <v>1</v>
      </c>
      <c r="E16" s="6">
        <v>1</v>
      </c>
      <c r="F16" s="189">
        <v>10100</v>
      </c>
      <c r="G16" s="185">
        <f t="shared" si="0"/>
        <v>10100</v>
      </c>
      <c r="H16" s="5">
        <f t="shared" si="1"/>
        <v>10100</v>
      </c>
    </row>
    <row r="17" spans="1:8" ht="25.5" x14ac:dyDescent="0.2">
      <c r="A17" s="188" t="s">
        <v>317</v>
      </c>
      <c r="B17" s="178" t="s">
        <v>518</v>
      </c>
      <c r="C17" s="6">
        <v>1</v>
      </c>
      <c r="D17" s="6">
        <v>1</v>
      </c>
      <c r="E17" s="6">
        <v>1</v>
      </c>
      <c r="F17" s="194">
        <v>63000</v>
      </c>
      <c r="G17" s="185">
        <f t="shared" si="0"/>
        <v>63000</v>
      </c>
      <c r="H17" s="5">
        <f t="shared" si="1"/>
        <v>63000</v>
      </c>
    </row>
    <row r="18" spans="1:8" x14ac:dyDescent="0.2">
      <c r="A18" s="49" t="s">
        <v>135</v>
      </c>
      <c r="B18" s="48">
        <v>9000</v>
      </c>
      <c r="C18" s="48" t="s">
        <v>12</v>
      </c>
      <c r="D18" s="48" t="s">
        <v>12</v>
      </c>
      <c r="E18" s="48" t="s">
        <v>12</v>
      </c>
      <c r="F18" s="50">
        <f>SUM(F7:F17)</f>
        <v>363500</v>
      </c>
      <c r="G18" s="50">
        <f>SUM(G7:G17)</f>
        <v>363500</v>
      </c>
      <c r="H18" s="50">
        <f>SUM(H7:H17)</f>
        <v>363500</v>
      </c>
    </row>
    <row r="21" spans="1:8" ht="15.75" x14ac:dyDescent="0.25">
      <c r="A21" s="46" t="s">
        <v>378</v>
      </c>
      <c r="B21" s="46" t="s">
        <v>375</v>
      </c>
      <c r="C21" s="46" t="s">
        <v>379</v>
      </c>
      <c r="D21" s="47">
        <v>621</v>
      </c>
    </row>
    <row r="22" spans="1:8" ht="12.75" customHeight="1" x14ac:dyDescent="0.2">
      <c r="A22" s="241" t="s">
        <v>216</v>
      </c>
      <c r="B22" s="241" t="s">
        <v>1</v>
      </c>
      <c r="C22" s="247" t="s">
        <v>292</v>
      </c>
      <c r="D22" s="247"/>
      <c r="E22" s="247"/>
      <c r="F22" s="247" t="s">
        <v>293</v>
      </c>
      <c r="G22" s="247"/>
      <c r="H22" s="247"/>
    </row>
    <row r="23" spans="1:8" x14ac:dyDescent="0.2">
      <c r="A23" s="241"/>
      <c r="B23" s="241"/>
      <c r="C23" s="204" t="s">
        <v>418</v>
      </c>
      <c r="D23" s="204" t="s">
        <v>451</v>
      </c>
      <c r="E23" s="204" t="s">
        <v>594</v>
      </c>
      <c r="F23" s="204" t="s">
        <v>418</v>
      </c>
      <c r="G23" s="204" t="s">
        <v>451</v>
      </c>
      <c r="H23" s="204" t="s">
        <v>594</v>
      </c>
    </row>
    <row r="24" spans="1:8" ht="38.25" x14ac:dyDescent="0.2">
      <c r="A24" s="241"/>
      <c r="B24" s="241"/>
      <c r="C24" s="48" t="s">
        <v>75</v>
      </c>
      <c r="D24" s="48" t="s">
        <v>76</v>
      </c>
      <c r="E24" s="48" t="s">
        <v>77</v>
      </c>
      <c r="F24" s="48" t="s">
        <v>75</v>
      </c>
      <c r="G24" s="48" t="s">
        <v>76</v>
      </c>
      <c r="H24" s="48" t="s">
        <v>77</v>
      </c>
    </row>
    <row r="25" spans="1:8" x14ac:dyDescent="0.2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9</v>
      </c>
      <c r="G25" s="2">
        <v>10</v>
      </c>
      <c r="H25" s="2">
        <v>11</v>
      </c>
    </row>
    <row r="26" spans="1:8" ht="25.5" x14ac:dyDescent="0.2">
      <c r="A26" s="195" t="s">
        <v>568</v>
      </c>
      <c r="B26" s="178" t="s">
        <v>486</v>
      </c>
      <c r="C26" s="6">
        <v>1</v>
      </c>
      <c r="D26" s="6">
        <v>1</v>
      </c>
      <c r="E26" s="6">
        <v>1</v>
      </c>
      <c r="F26" s="198">
        <v>10000</v>
      </c>
      <c r="G26" s="5">
        <f>F26</f>
        <v>10000</v>
      </c>
      <c r="H26" s="5">
        <f>G26</f>
        <v>10000</v>
      </c>
    </row>
    <row r="27" spans="1:8" ht="25.5" x14ac:dyDescent="0.2">
      <c r="A27" s="195" t="s">
        <v>569</v>
      </c>
      <c r="B27" s="178" t="s">
        <v>487</v>
      </c>
      <c r="C27" s="6">
        <v>1</v>
      </c>
      <c r="D27" s="6">
        <v>1</v>
      </c>
      <c r="E27" s="6">
        <v>1</v>
      </c>
      <c r="F27" s="198">
        <v>70000</v>
      </c>
      <c r="G27" s="185">
        <f t="shared" ref="G27:H29" si="2">F27</f>
        <v>70000</v>
      </c>
      <c r="H27" s="185">
        <f t="shared" si="2"/>
        <v>70000</v>
      </c>
    </row>
    <row r="28" spans="1:8" x14ac:dyDescent="0.2">
      <c r="A28" s="196" t="s">
        <v>570</v>
      </c>
      <c r="B28" s="178" t="s">
        <v>488</v>
      </c>
      <c r="C28" s="6">
        <v>1</v>
      </c>
      <c r="D28" s="6">
        <v>1</v>
      </c>
      <c r="E28" s="6">
        <v>1</v>
      </c>
      <c r="F28" s="198">
        <v>10000</v>
      </c>
      <c r="G28" s="185">
        <f t="shared" si="2"/>
        <v>10000</v>
      </c>
      <c r="H28" s="185">
        <f t="shared" si="2"/>
        <v>10000</v>
      </c>
    </row>
    <row r="29" spans="1:8" x14ac:dyDescent="0.2">
      <c r="A29" s="196" t="s">
        <v>571</v>
      </c>
      <c r="B29" s="184"/>
      <c r="C29" s="186"/>
      <c r="D29" s="186"/>
      <c r="E29" s="186"/>
      <c r="F29" s="198">
        <v>5500</v>
      </c>
      <c r="G29" s="185">
        <f t="shared" si="2"/>
        <v>5500</v>
      </c>
      <c r="H29" s="185">
        <f t="shared" si="2"/>
        <v>5500</v>
      </c>
    </row>
    <row r="30" spans="1:8" x14ac:dyDescent="0.2">
      <c r="A30" s="49" t="s">
        <v>135</v>
      </c>
      <c r="B30" s="48">
        <v>9000</v>
      </c>
      <c r="C30" s="48" t="s">
        <v>12</v>
      </c>
      <c r="D30" s="48" t="s">
        <v>12</v>
      </c>
      <c r="E30" s="48" t="s">
        <v>12</v>
      </c>
      <c r="F30" s="50">
        <f>SUM(F26:F29)</f>
        <v>95500</v>
      </c>
      <c r="G30" s="50">
        <f t="shared" ref="G30:H30" si="3">SUM(G26:G29)</f>
        <v>95500</v>
      </c>
      <c r="H30" s="50">
        <f t="shared" si="3"/>
        <v>95500</v>
      </c>
    </row>
    <row r="31" spans="1:8" ht="9.75" customHeight="1" x14ac:dyDescent="0.2">
      <c r="A31" s="52"/>
      <c r="B31" s="53"/>
      <c r="C31" s="53"/>
      <c r="D31" s="53"/>
      <c r="E31" s="53"/>
      <c r="F31" s="54"/>
      <c r="G31" s="54"/>
      <c r="H31" s="54"/>
    </row>
    <row r="33" spans="1:8" ht="15.75" x14ac:dyDescent="0.25">
      <c r="A33" s="46" t="s">
        <v>444</v>
      </c>
      <c r="B33" s="46" t="s">
        <v>375</v>
      </c>
      <c r="C33" s="46" t="s">
        <v>380</v>
      </c>
      <c r="D33" s="47">
        <v>621</v>
      </c>
    </row>
    <row r="34" spans="1:8" ht="12.75" customHeight="1" x14ac:dyDescent="0.2">
      <c r="A34" s="241" t="s">
        <v>216</v>
      </c>
      <c r="B34" s="241" t="s">
        <v>1</v>
      </c>
      <c r="C34" s="247" t="s">
        <v>292</v>
      </c>
      <c r="D34" s="247"/>
      <c r="E34" s="247"/>
      <c r="F34" s="247" t="s">
        <v>293</v>
      </c>
      <c r="G34" s="247"/>
      <c r="H34" s="247"/>
    </row>
    <row r="35" spans="1:8" x14ac:dyDescent="0.2">
      <c r="A35" s="241"/>
      <c r="B35" s="241"/>
      <c r="C35" s="204" t="s">
        <v>418</v>
      </c>
      <c r="D35" s="204" t="s">
        <v>451</v>
      </c>
      <c r="E35" s="204" t="s">
        <v>594</v>
      </c>
      <c r="F35" s="204" t="s">
        <v>418</v>
      </c>
      <c r="G35" s="204" t="s">
        <v>451</v>
      </c>
      <c r="H35" s="204" t="s">
        <v>594</v>
      </c>
    </row>
    <row r="36" spans="1:8" ht="38.25" x14ac:dyDescent="0.2">
      <c r="A36" s="241"/>
      <c r="B36" s="241"/>
      <c r="C36" s="48" t="s">
        <v>75</v>
      </c>
      <c r="D36" s="48" t="s">
        <v>76</v>
      </c>
      <c r="E36" s="48" t="s">
        <v>77</v>
      </c>
      <c r="F36" s="48" t="s">
        <v>75</v>
      </c>
      <c r="G36" s="48" t="s">
        <v>76</v>
      </c>
      <c r="H36" s="48" t="s">
        <v>77</v>
      </c>
    </row>
    <row r="37" spans="1:8" x14ac:dyDescent="0.2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>
        <v>9</v>
      </c>
      <c r="G37" s="2">
        <v>10</v>
      </c>
      <c r="H37" s="2">
        <v>11</v>
      </c>
    </row>
    <row r="38" spans="1:8" ht="38.25" x14ac:dyDescent="0.2">
      <c r="A38" s="199" t="s">
        <v>572</v>
      </c>
      <c r="B38" s="178" t="s">
        <v>486</v>
      </c>
      <c r="C38" s="6">
        <v>1</v>
      </c>
      <c r="D38" s="6">
        <v>1</v>
      </c>
      <c r="E38" s="6">
        <v>1</v>
      </c>
      <c r="F38" s="197">
        <v>6000</v>
      </c>
      <c r="G38" s="5">
        <f>F38</f>
        <v>6000</v>
      </c>
      <c r="H38" s="5">
        <f>G38</f>
        <v>6000</v>
      </c>
    </row>
    <row r="39" spans="1:8" ht="25.5" x14ac:dyDescent="0.2">
      <c r="A39" s="199" t="s">
        <v>573</v>
      </c>
      <c r="B39" s="178" t="s">
        <v>487</v>
      </c>
      <c r="C39" s="6">
        <v>1</v>
      </c>
      <c r="D39" s="6">
        <v>1</v>
      </c>
      <c r="E39" s="6">
        <v>1</v>
      </c>
      <c r="F39" s="197">
        <v>7000</v>
      </c>
      <c r="G39" s="185">
        <f t="shared" ref="G39:G40" si="4">F39</f>
        <v>7000</v>
      </c>
      <c r="H39" s="5">
        <f t="shared" ref="H39:H40" si="5">G39</f>
        <v>7000</v>
      </c>
    </row>
    <row r="40" spans="1:8" ht="25.5" x14ac:dyDescent="0.2">
      <c r="A40" s="199" t="s">
        <v>574</v>
      </c>
      <c r="B40" s="178" t="s">
        <v>488</v>
      </c>
      <c r="C40" s="6">
        <v>1</v>
      </c>
      <c r="D40" s="6">
        <v>1</v>
      </c>
      <c r="E40" s="6">
        <v>1</v>
      </c>
      <c r="F40" s="197">
        <v>1260</v>
      </c>
      <c r="G40" s="185">
        <f t="shared" si="4"/>
        <v>1260</v>
      </c>
      <c r="H40" s="5">
        <f t="shared" si="5"/>
        <v>1260</v>
      </c>
    </row>
    <row r="41" spans="1:8" x14ac:dyDescent="0.2">
      <c r="A41" s="49" t="s">
        <v>135</v>
      </c>
      <c r="B41" s="48">
        <v>9000</v>
      </c>
      <c r="C41" s="48" t="s">
        <v>12</v>
      </c>
      <c r="D41" s="48" t="s">
        <v>12</v>
      </c>
      <c r="E41" s="48" t="s">
        <v>12</v>
      </c>
      <c r="F41" s="50">
        <f>SUM(F38:F40)</f>
        <v>14260</v>
      </c>
      <c r="G41" s="50">
        <f>SUM(G38:G40)</f>
        <v>14260</v>
      </c>
      <c r="H41" s="50">
        <f>SUM(H38:H40)</f>
        <v>14260</v>
      </c>
    </row>
    <row r="44" spans="1:8" ht="15.75" x14ac:dyDescent="0.25">
      <c r="A44" s="46" t="s">
        <v>381</v>
      </c>
      <c r="B44" s="46" t="s">
        <v>375</v>
      </c>
      <c r="C44" s="46" t="s">
        <v>382</v>
      </c>
    </row>
    <row r="45" spans="1:8" ht="12.75" customHeight="1" x14ac:dyDescent="0.2">
      <c r="A45" s="241" t="s">
        <v>216</v>
      </c>
      <c r="B45" s="241" t="s">
        <v>1</v>
      </c>
      <c r="C45" s="247" t="s">
        <v>292</v>
      </c>
      <c r="D45" s="247"/>
      <c r="E45" s="247"/>
      <c r="F45" s="247" t="s">
        <v>293</v>
      </c>
      <c r="G45" s="247"/>
      <c r="H45" s="247"/>
    </row>
    <row r="46" spans="1:8" x14ac:dyDescent="0.2">
      <c r="A46" s="241"/>
      <c r="B46" s="241"/>
      <c r="C46" s="204" t="s">
        <v>418</v>
      </c>
      <c r="D46" s="204" t="s">
        <v>451</v>
      </c>
      <c r="E46" s="204" t="s">
        <v>594</v>
      </c>
      <c r="F46" s="204" t="s">
        <v>418</v>
      </c>
      <c r="G46" s="204" t="s">
        <v>451</v>
      </c>
      <c r="H46" s="204" t="s">
        <v>594</v>
      </c>
    </row>
    <row r="47" spans="1:8" ht="38.25" x14ac:dyDescent="0.2">
      <c r="A47" s="241"/>
      <c r="B47" s="241"/>
      <c r="C47" s="48" t="s">
        <v>75</v>
      </c>
      <c r="D47" s="48" t="s">
        <v>76</v>
      </c>
      <c r="E47" s="48" t="s">
        <v>77</v>
      </c>
      <c r="F47" s="48" t="s">
        <v>75</v>
      </c>
      <c r="G47" s="48" t="s">
        <v>76</v>
      </c>
      <c r="H47" s="48" t="s">
        <v>77</v>
      </c>
    </row>
    <row r="48" spans="1:8" x14ac:dyDescent="0.2">
      <c r="A48" s="2">
        <v>1</v>
      </c>
      <c r="B48" s="2">
        <v>2</v>
      </c>
      <c r="C48" s="2">
        <v>3</v>
      </c>
      <c r="D48" s="2">
        <v>4</v>
      </c>
      <c r="E48" s="2">
        <v>5</v>
      </c>
      <c r="F48" s="2">
        <v>9</v>
      </c>
      <c r="G48" s="2">
        <v>10</v>
      </c>
      <c r="H48" s="2">
        <v>11</v>
      </c>
    </row>
    <row r="49" spans="1:8" x14ac:dyDescent="0.2">
      <c r="A49" s="6" t="s">
        <v>302</v>
      </c>
      <c r="B49" s="178" t="s">
        <v>486</v>
      </c>
      <c r="C49" s="6">
        <v>1</v>
      </c>
      <c r="D49" s="6"/>
      <c r="E49" s="6"/>
      <c r="F49" s="5">
        <v>0.68</v>
      </c>
      <c r="G49" s="5"/>
      <c r="H49" s="5"/>
    </row>
    <row r="50" spans="1:8" x14ac:dyDescent="0.2">
      <c r="A50" s="49" t="s">
        <v>135</v>
      </c>
      <c r="B50" s="48">
        <v>9000</v>
      </c>
      <c r="C50" s="48" t="s">
        <v>12</v>
      </c>
      <c r="D50" s="48" t="s">
        <v>12</v>
      </c>
      <c r="E50" s="48" t="s">
        <v>12</v>
      </c>
      <c r="F50" s="50">
        <f>SUM(F49:F49)</f>
        <v>0.68</v>
      </c>
      <c r="G50" s="50">
        <f>SUM(G49:G49)</f>
        <v>0</v>
      </c>
      <c r="H50" s="50">
        <v>0.68</v>
      </c>
    </row>
    <row r="53" spans="1:8" ht="15.75" x14ac:dyDescent="0.25">
      <c r="A53" s="46" t="s">
        <v>415</v>
      </c>
      <c r="B53" s="46" t="s">
        <v>375</v>
      </c>
      <c r="C53" s="46" t="s">
        <v>376</v>
      </c>
      <c r="D53" s="47">
        <v>622</v>
      </c>
      <c r="E53" s="46"/>
      <c r="F53" s="46"/>
      <c r="G53" s="46"/>
      <c r="H53" s="46"/>
    </row>
    <row r="54" spans="1:8" x14ac:dyDescent="0.2">
      <c r="A54" s="241" t="s">
        <v>216</v>
      </c>
      <c r="B54" s="241" t="s">
        <v>1</v>
      </c>
      <c r="C54" s="247" t="s">
        <v>292</v>
      </c>
      <c r="D54" s="247"/>
      <c r="E54" s="247"/>
      <c r="F54" s="247" t="s">
        <v>293</v>
      </c>
      <c r="G54" s="247"/>
      <c r="H54" s="247"/>
    </row>
    <row r="55" spans="1:8" x14ac:dyDescent="0.2">
      <c r="A55" s="241"/>
      <c r="B55" s="241"/>
      <c r="C55" s="204" t="s">
        <v>418</v>
      </c>
      <c r="D55" s="204" t="s">
        <v>451</v>
      </c>
      <c r="E55" s="204" t="s">
        <v>594</v>
      </c>
      <c r="F55" s="204" t="s">
        <v>418</v>
      </c>
      <c r="G55" s="204" t="s">
        <v>451</v>
      </c>
      <c r="H55" s="204" t="s">
        <v>594</v>
      </c>
    </row>
    <row r="56" spans="1:8" ht="38.25" x14ac:dyDescent="0.2">
      <c r="A56" s="241"/>
      <c r="B56" s="241"/>
      <c r="C56" s="48" t="s">
        <v>75</v>
      </c>
      <c r="D56" s="48" t="s">
        <v>76</v>
      </c>
      <c r="E56" s="48" t="s">
        <v>77</v>
      </c>
      <c r="F56" s="48" t="s">
        <v>75</v>
      </c>
      <c r="G56" s="48" t="s">
        <v>76</v>
      </c>
      <c r="H56" s="48" t="s">
        <v>77</v>
      </c>
    </row>
    <row r="57" spans="1:8" x14ac:dyDescent="0.2">
      <c r="A57" s="2">
        <v>1</v>
      </c>
      <c r="B57" s="2">
        <v>2</v>
      </c>
      <c r="C57" s="2">
        <v>3</v>
      </c>
      <c r="D57" s="2">
        <v>4</v>
      </c>
      <c r="E57" s="2">
        <v>5</v>
      </c>
      <c r="F57" s="2">
        <v>9</v>
      </c>
      <c r="G57" s="2">
        <v>10</v>
      </c>
      <c r="H57" s="2">
        <v>11</v>
      </c>
    </row>
    <row r="58" spans="1:8" ht="25.5" x14ac:dyDescent="0.2">
      <c r="A58" s="6" t="s">
        <v>427</v>
      </c>
      <c r="B58" s="178" t="s">
        <v>486</v>
      </c>
      <c r="C58" s="6">
        <v>1</v>
      </c>
      <c r="D58" s="6"/>
      <c r="E58" s="6"/>
      <c r="F58" s="5"/>
      <c r="G58" s="5"/>
      <c r="H58" s="5"/>
    </row>
    <row r="59" spans="1:8" x14ac:dyDescent="0.2">
      <c r="A59" s="49" t="s">
        <v>135</v>
      </c>
      <c r="B59" s="48">
        <v>9000</v>
      </c>
      <c r="C59" s="48" t="s">
        <v>12</v>
      </c>
      <c r="D59" s="48" t="s">
        <v>12</v>
      </c>
      <c r="E59" s="48" t="s">
        <v>12</v>
      </c>
      <c r="F59" s="50">
        <f>SUM(F58:F58)</f>
        <v>0</v>
      </c>
      <c r="G59" s="50">
        <f>SUM(G58:G58)</f>
        <v>0</v>
      </c>
      <c r="H59" s="50">
        <f>SUM(H58:H58)</f>
        <v>0</v>
      </c>
    </row>
    <row r="62" spans="1:8" ht="15.75" x14ac:dyDescent="0.25">
      <c r="A62" s="46" t="s">
        <v>377</v>
      </c>
      <c r="B62" s="46" t="s">
        <v>375</v>
      </c>
      <c r="C62" s="46" t="s">
        <v>376</v>
      </c>
      <c r="D62" s="47">
        <v>621</v>
      </c>
      <c r="E62" s="46"/>
      <c r="F62" s="46"/>
      <c r="G62" s="46"/>
      <c r="H62" s="46"/>
    </row>
    <row r="63" spans="1:8" x14ac:dyDescent="0.2">
      <c r="A63" s="241" t="s">
        <v>216</v>
      </c>
      <c r="B63" s="241" t="s">
        <v>1</v>
      </c>
      <c r="C63" s="247" t="s">
        <v>292</v>
      </c>
      <c r="D63" s="247"/>
      <c r="E63" s="247"/>
      <c r="F63" s="247" t="s">
        <v>293</v>
      </c>
      <c r="G63" s="247"/>
      <c r="H63" s="247"/>
    </row>
    <row r="64" spans="1:8" x14ac:dyDescent="0.2">
      <c r="A64" s="241"/>
      <c r="B64" s="241"/>
      <c r="C64" s="204" t="s">
        <v>418</v>
      </c>
      <c r="D64" s="204" t="s">
        <v>451</v>
      </c>
      <c r="E64" s="204" t="s">
        <v>594</v>
      </c>
      <c r="F64" s="204" t="s">
        <v>418</v>
      </c>
      <c r="G64" s="204" t="s">
        <v>451</v>
      </c>
      <c r="H64" s="204" t="s">
        <v>594</v>
      </c>
    </row>
    <row r="65" spans="1:8" ht="38.25" x14ac:dyDescent="0.2">
      <c r="A65" s="241"/>
      <c r="B65" s="241"/>
      <c r="C65" s="48" t="s">
        <v>75</v>
      </c>
      <c r="D65" s="48" t="s">
        <v>76</v>
      </c>
      <c r="E65" s="48" t="s">
        <v>77</v>
      </c>
      <c r="F65" s="48" t="s">
        <v>75</v>
      </c>
      <c r="G65" s="48" t="s">
        <v>76</v>
      </c>
      <c r="H65" s="48" t="s">
        <v>77</v>
      </c>
    </row>
    <row r="66" spans="1:8" x14ac:dyDescent="0.2">
      <c r="A66" s="2">
        <v>1</v>
      </c>
      <c r="B66" s="2">
        <v>2</v>
      </c>
      <c r="C66" s="2">
        <v>3</v>
      </c>
      <c r="D66" s="2">
        <v>4</v>
      </c>
      <c r="E66" s="2">
        <v>5</v>
      </c>
      <c r="F66" s="2">
        <v>9</v>
      </c>
      <c r="G66" s="2">
        <v>10</v>
      </c>
      <c r="H66" s="2">
        <v>11</v>
      </c>
    </row>
    <row r="67" spans="1:8" ht="25.5" x14ac:dyDescent="0.2">
      <c r="A67" s="6" t="s">
        <v>428</v>
      </c>
      <c r="B67" s="178" t="s">
        <v>486</v>
      </c>
      <c r="C67" s="6">
        <v>1</v>
      </c>
      <c r="D67" s="6"/>
      <c r="E67" s="6"/>
      <c r="F67" s="5"/>
      <c r="G67" s="5"/>
      <c r="H67" s="5"/>
    </row>
    <row r="68" spans="1:8" x14ac:dyDescent="0.2">
      <c r="A68" s="6" t="s">
        <v>429</v>
      </c>
      <c r="B68" s="178" t="s">
        <v>487</v>
      </c>
      <c r="C68" s="6">
        <v>1</v>
      </c>
      <c r="D68" s="6"/>
      <c r="E68" s="6"/>
      <c r="F68" s="5"/>
      <c r="G68" s="5"/>
      <c r="H68" s="5"/>
    </row>
    <row r="69" spans="1:8" x14ac:dyDescent="0.2">
      <c r="A69" s="6" t="s">
        <v>430</v>
      </c>
      <c r="B69" s="178" t="s">
        <v>488</v>
      </c>
      <c r="C69" s="6">
        <v>1</v>
      </c>
      <c r="D69" s="6"/>
      <c r="E69" s="6"/>
      <c r="F69" s="5"/>
      <c r="G69" s="5"/>
      <c r="H69" s="5"/>
    </row>
    <row r="70" spans="1:8" x14ac:dyDescent="0.2">
      <c r="A70" s="49" t="s">
        <v>135</v>
      </c>
      <c r="B70" s="48">
        <v>9000</v>
      </c>
      <c r="C70" s="48" t="s">
        <v>12</v>
      </c>
      <c r="D70" s="48" t="s">
        <v>12</v>
      </c>
      <c r="E70" s="48" t="s">
        <v>12</v>
      </c>
      <c r="F70" s="50">
        <f>SUM(F67:F69)</f>
        <v>0</v>
      </c>
      <c r="G70" s="50">
        <f>SUM(G67:G67)</f>
        <v>0</v>
      </c>
      <c r="H70" s="50">
        <f>SUM(H67:H67)</f>
        <v>0</v>
      </c>
    </row>
    <row r="73" spans="1:8" ht="15.75" x14ac:dyDescent="0.25">
      <c r="A73" s="46" t="s">
        <v>385</v>
      </c>
      <c r="B73" s="46" t="s">
        <v>375</v>
      </c>
      <c r="C73" s="46" t="s">
        <v>384</v>
      </c>
      <c r="D73" s="47"/>
      <c r="E73" s="46"/>
      <c r="F73" s="46"/>
      <c r="G73" s="46"/>
      <c r="H73" s="46"/>
    </row>
    <row r="74" spans="1:8" x14ac:dyDescent="0.2">
      <c r="A74" s="241" t="s">
        <v>216</v>
      </c>
      <c r="B74" s="241" t="s">
        <v>1</v>
      </c>
      <c r="C74" s="247" t="s">
        <v>292</v>
      </c>
      <c r="D74" s="247"/>
      <c r="E74" s="247"/>
      <c r="F74" s="247" t="s">
        <v>293</v>
      </c>
      <c r="G74" s="247"/>
      <c r="H74" s="247"/>
    </row>
    <row r="75" spans="1:8" x14ac:dyDescent="0.2">
      <c r="A75" s="241"/>
      <c r="B75" s="241"/>
      <c r="C75" s="204" t="s">
        <v>418</v>
      </c>
      <c r="D75" s="204" t="s">
        <v>451</v>
      </c>
      <c r="E75" s="204" t="s">
        <v>594</v>
      </c>
      <c r="F75" s="204" t="s">
        <v>418</v>
      </c>
      <c r="G75" s="204" t="s">
        <v>451</v>
      </c>
      <c r="H75" s="204" t="s">
        <v>594</v>
      </c>
    </row>
    <row r="76" spans="1:8" ht="38.25" x14ac:dyDescent="0.2">
      <c r="A76" s="241"/>
      <c r="B76" s="241"/>
      <c r="C76" s="48" t="s">
        <v>75</v>
      </c>
      <c r="D76" s="48" t="s">
        <v>76</v>
      </c>
      <c r="E76" s="48" t="s">
        <v>77</v>
      </c>
      <c r="F76" s="48" t="s">
        <v>75</v>
      </c>
      <c r="G76" s="48" t="s">
        <v>76</v>
      </c>
      <c r="H76" s="48" t="s">
        <v>77</v>
      </c>
    </row>
    <row r="77" spans="1:8" x14ac:dyDescent="0.2">
      <c r="A77" s="2">
        <v>1</v>
      </c>
      <c r="B77" s="2">
        <v>2</v>
      </c>
      <c r="C77" s="2">
        <v>3</v>
      </c>
      <c r="D77" s="2">
        <v>4</v>
      </c>
      <c r="E77" s="2">
        <v>5</v>
      </c>
      <c r="F77" s="2">
        <v>9</v>
      </c>
      <c r="G77" s="2">
        <v>10</v>
      </c>
      <c r="H77" s="2">
        <v>11</v>
      </c>
    </row>
    <row r="78" spans="1:8" x14ac:dyDescent="0.2">
      <c r="A78" s="6" t="s">
        <v>327</v>
      </c>
      <c r="B78" s="178" t="s">
        <v>486</v>
      </c>
      <c r="C78" s="6">
        <v>1</v>
      </c>
      <c r="D78" s="6"/>
      <c r="E78" s="6"/>
      <c r="F78" s="5"/>
      <c r="G78" s="5"/>
      <c r="H78" s="5"/>
    </row>
    <row r="79" spans="1:8" x14ac:dyDescent="0.2">
      <c r="A79" s="49" t="s">
        <v>135</v>
      </c>
      <c r="B79" s="48">
        <v>9000</v>
      </c>
      <c r="C79" s="48" t="s">
        <v>12</v>
      </c>
      <c r="D79" s="48" t="s">
        <v>12</v>
      </c>
      <c r="E79" s="48" t="s">
        <v>12</v>
      </c>
      <c r="F79" s="50">
        <f>SUM(F78:F78)</f>
        <v>0</v>
      </c>
      <c r="G79" s="50">
        <f>SUM(G78:G78)</f>
        <v>0</v>
      </c>
      <c r="H79" s="50">
        <f>SUM(H78:H78)</f>
        <v>0</v>
      </c>
    </row>
  </sheetData>
  <mergeCells count="28">
    <mergeCell ref="A3:A5"/>
    <mergeCell ref="B3:B5"/>
    <mergeCell ref="C3:E3"/>
    <mergeCell ref="F3:H3"/>
    <mergeCell ref="A22:A24"/>
    <mergeCell ref="B22:B24"/>
    <mergeCell ref="C22:E22"/>
    <mergeCell ref="F22:H22"/>
    <mergeCell ref="A54:A56"/>
    <mergeCell ref="B54:B56"/>
    <mergeCell ref="C54:E54"/>
    <mergeCell ref="F54:H54"/>
    <mergeCell ref="A34:A36"/>
    <mergeCell ref="B34:B36"/>
    <mergeCell ref="C34:E34"/>
    <mergeCell ref="F34:H34"/>
    <mergeCell ref="A45:A47"/>
    <mergeCell ref="B45:B47"/>
    <mergeCell ref="C45:E45"/>
    <mergeCell ref="F45:H45"/>
    <mergeCell ref="A74:A76"/>
    <mergeCell ref="B74:B76"/>
    <mergeCell ref="C74:E74"/>
    <mergeCell ref="F74:H74"/>
    <mergeCell ref="A63:A65"/>
    <mergeCell ref="B63:B65"/>
    <mergeCell ref="C63:E63"/>
    <mergeCell ref="F63:H63"/>
  </mergeCells>
  <pageMargins left="0.7" right="0.7" top="0.75" bottom="0.75" header="0.3" footer="0.3"/>
  <pageSetup paperSize="9" scale="97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78"/>
  <sheetViews>
    <sheetView workbookViewId="0">
      <selection activeCell="C5" sqref="C5:K5"/>
    </sheetView>
  </sheetViews>
  <sheetFormatPr defaultRowHeight="12.75" x14ac:dyDescent="0.2"/>
  <cols>
    <col min="1" max="1" width="31.5703125" style="3" customWidth="1"/>
    <col min="2" max="2" width="9.140625" style="3"/>
    <col min="3" max="11" width="14.5703125" style="3" customWidth="1"/>
    <col min="12" max="16384" width="9.140625" style="3"/>
  </cols>
  <sheetData>
    <row r="1" spans="1:11" ht="15.75" x14ac:dyDescent="0.25">
      <c r="A1" s="46" t="s">
        <v>294</v>
      </c>
      <c r="B1" s="46"/>
      <c r="C1" s="46"/>
      <c r="D1" s="46"/>
      <c r="E1" s="46"/>
      <c r="F1" s="46"/>
      <c r="G1" s="46"/>
      <c r="H1" s="46"/>
      <c r="I1" s="46">
        <v>-310</v>
      </c>
      <c r="J1" s="46"/>
      <c r="K1" s="46"/>
    </row>
    <row r="2" spans="1:1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 x14ac:dyDescent="0.25">
      <c r="A3" s="46" t="s">
        <v>378</v>
      </c>
      <c r="B3" s="46" t="s">
        <v>375</v>
      </c>
      <c r="C3" s="46" t="s">
        <v>379</v>
      </c>
      <c r="D3" s="47">
        <v>622</v>
      </c>
      <c r="E3" s="46"/>
      <c r="F3" s="46"/>
      <c r="G3" s="46"/>
      <c r="H3" s="46"/>
      <c r="I3" s="46"/>
      <c r="J3" s="46"/>
      <c r="K3" s="46"/>
    </row>
    <row r="4" spans="1:11" x14ac:dyDescent="0.2">
      <c r="A4" s="241" t="s">
        <v>216</v>
      </c>
      <c r="B4" s="241" t="s">
        <v>1</v>
      </c>
      <c r="C4" s="247" t="s">
        <v>295</v>
      </c>
      <c r="D4" s="247"/>
      <c r="E4" s="247"/>
      <c r="F4" s="247" t="s">
        <v>296</v>
      </c>
      <c r="G4" s="247"/>
      <c r="H4" s="247"/>
      <c r="I4" s="247" t="s">
        <v>115</v>
      </c>
      <c r="J4" s="247"/>
      <c r="K4" s="247"/>
    </row>
    <row r="5" spans="1:11" x14ac:dyDescent="0.2">
      <c r="A5" s="241"/>
      <c r="B5" s="241"/>
      <c r="C5" s="204" t="s">
        <v>418</v>
      </c>
      <c r="D5" s="204" t="s">
        <v>451</v>
      </c>
      <c r="E5" s="204" t="s">
        <v>594</v>
      </c>
      <c r="F5" s="204" t="s">
        <v>418</v>
      </c>
      <c r="G5" s="204" t="s">
        <v>451</v>
      </c>
      <c r="H5" s="204" t="s">
        <v>594</v>
      </c>
      <c r="I5" s="204" t="s">
        <v>418</v>
      </c>
      <c r="J5" s="204" t="s">
        <v>451</v>
      </c>
      <c r="K5" s="204" t="s">
        <v>594</v>
      </c>
    </row>
    <row r="6" spans="1:11" ht="38.25" x14ac:dyDescent="0.2">
      <c r="A6" s="241"/>
      <c r="B6" s="241"/>
      <c r="C6" s="48" t="s">
        <v>75</v>
      </c>
      <c r="D6" s="48" t="s">
        <v>76</v>
      </c>
      <c r="E6" s="48" t="s">
        <v>77</v>
      </c>
      <c r="F6" s="48" t="s">
        <v>75</v>
      </c>
      <c r="G6" s="48" t="s">
        <v>76</v>
      </c>
      <c r="H6" s="48" t="s">
        <v>77</v>
      </c>
      <c r="I6" s="48" t="s">
        <v>75</v>
      </c>
      <c r="J6" s="48" t="s">
        <v>76</v>
      </c>
      <c r="K6" s="48" t="s">
        <v>77</v>
      </c>
    </row>
    <row r="7" spans="1:1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x14ac:dyDescent="0.2">
      <c r="A8" s="6" t="s">
        <v>383</v>
      </c>
      <c r="B8" s="178" t="s">
        <v>486</v>
      </c>
      <c r="C8" s="6">
        <v>1</v>
      </c>
      <c r="D8" s="6">
        <v>1</v>
      </c>
      <c r="E8" s="6">
        <v>1</v>
      </c>
      <c r="F8" s="5">
        <f>I8/C8</f>
        <v>20000</v>
      </c>
      <c r="G8" s="5">
        <f t="shared" ref="G8:H8" si="0">J8/D8</f>
        <v>20000</v>
      </c>
      <c r="H8" s="5">
        <f t="shared" si="0"/>
        <v>20000</v>
      </c>
      <c r="I8" s="5">
        <v>20000</v>
      </c>
      <c r="J8" s="5">
        <v>20000</v>
      </c>
      <c r="K8" s="5">
        <f>J8</f>
        <v>20000</v>
      </c>
    </row>
    <row r="9" spans="1:11" x14ac:dyDescent="0.2">
      <c r="A9" s="49" t="s">
        <v>135</v>
      </c>
      <c r="B9" s="48">
        <v>9000</v>
      </c>
      <c r="C9" s="48" t="s">
        <v>12</v>
      </c>
      <c r="D9" s="48" t="s">
        <v>12</v>
      </c>
      <c r="E9" s="48" t="s">
        <v>12</v>
      </c>
      <c r="F9" s="55" t="s">
        <v>12</v>
      </c>
      <c r="G9" s="55" t="s">
        <v>12</v>
      </c>
      <c r="H9" s="55" t="s">
        <v>12</v>
      </c>
      <c r="I9" s="50">
        <f>SUM(I8:I8)</f>
        <v>20000</v>
      </c>
      <c r="J9" s="50">
        <f>SUM(J8:J8)</f>
        <v>20000</v>
      </c>
      <c r="K9" s="50">
        <f>SUM(K8:K8)</f>
        <v>20000</v>
      </c>
    </row>
    <row r="12" spans="1:11" ht="15.75" x14ac:dyDescent="0.25">
      <c r="A12" s="46" t="s">
        <v>385</v>
      </c>
      <c r="B12" s="46" t="s">
        <v>375</v>
      </c>
      <c r="C12" s="46" t="s">
        <v>384</v>
      </c>
    </row>
    <row r="13" spans="1:11" ht="12.75" customHeight="1" x14ac:dyDescent="0.2">
      <c r="A13" s="241" t="s">
        <v>216</v>
      </c>
      <c r="B13" s="241" t="s">
        <v>1</v>
      </c>
      <c r="C13" s="285" t="s">
        <v>295</v>
      </c>
      <c r="D13" s="286"/>
      <c r="E13" s="287"/>
      <c r="F13" s="285" t="s">
        <v>296</v>
      </c>
      <c r="G13" s="286"/>
      <c r="H13" s="287"/>
      <c r="I13" s="285" t="s">
        <v>115</v>
      </c>
      <c r="J13" s="286"/>
      <c r="K13" s="287"/>
    </row>
    <row r="14" spans="1:11" x14ac:dyDescent="0.2">
      <c r="A14" s="241"/>
      <c r="B14" s="241"/>
      <c r="C14" s="204" t="s">
        <v>418</v>
      </c>
      <c r="D14" s="204" t="s">
        <v>451</v>
      </c>
      <c r="E14" s="204" t="s">
        <v>594</v>
      </c>
      <c r="F14" s="204" t="s">
        <v>418</v>
      </c>
      <c r="G14" s="204" t="s">
        <v>451</v>
      </c>
      <c r="H14" s="204" t="s">
        <v>594</v>
      </c>
      <c r="I14" s="204" t="s">
        <v>418</v>
      </c>
      <c r="J14" s="204" t="s">
        <v>451</v>
      </c>
      <c r="K14" s="204" t="s">
        <v>594</v>
      </c>
    </row>
    <row r="15" spans="1:11" ht="38.25" x14ac:dyDescent="0.2">
      <c r="A15" s="241"/>
      <c r="B15" s="241"/>
      <c r="C15" s="48" t="s">
        <v>75</v>
      </c>
      <c r="D15" s="48" t="s">
        <v>76</v>
      </c>
      <c r="E15" s="48" t="s">
        <v>77</v>
      </c>
      <c r="F15" s="48" t="s">
        <v>75</v>
      </c>
      <c r="G15" s="48" t="s">
        <v>76</v>
      </c>
      <c r="H15" s="48" t="s">
        <v>77</v>
      </c>
      <c r="I15" s="48" t="s">
        <v>75</v>
      </c>
      <c r="J15" s="48" t="s">
        <v>76</v>
      </c>
      <c r="K15" s="48" t="s">
        <v>77</v>
      </c>
    </row>
    <row r="16" spans="1:11" x14ac:dyDescent="0.2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6" x14ac:dyDescent="0.2">
      <c r="A17" s="6" t="s">
        <v>386</v>
      </c>
      <c r="B17" s="178" t="s">
        <v>486</v>
      </c>
      <c r="C17" s="6">
        <v>5</v>
      </c>
      <c r="D17" s="6">
        <v>5</v>
      </c>
      <c r="E17" s="6">
        <v>5</v>
      </c>
      <c r="F17" s="5">
        <f>I17/C17</f>
        <v>0</v>
      </c>
      <c r="G17" s="5">
        <f t="shared" ref="G17:H17" si="1">J17/D17</f>
        <v>0</v>
      </c>
      <c r="H17" s="5">
        <f t="shared" si="1"/>
        <v>0</v>
      </c>
      <c r="I17" s="5"/>
      <c r="J17" s="5"/>
      <c r="K17" s="5">
        <f>J17</f>
        <v>0</v>
      </c>
      <c r="O17" s="3">
        <v>255000</v>
      </c>
      <c r="P17" s="3" t="s">
        <v>465</v>
      </c>
    </row>
    <row r="18" spans="1:16" x14ac:dyDescent="0.2">
      <c r="A18" s="49" t="s">
        <v>135</v>
      </c>
      <c r="B18" s="48">
        <v>9000</v>
      </c>
      <c r="C18" s="48" t="s">
        <v>12</v>
      </c>
      <c r="D18" s="48" t="s">
        <v>12</v>
      </c>
      <c r="E18" s="48" t="s">
        <v>12</v>
      </c>
      <c r="F18" s="48" t="s">
        <v>12</v>
      </c>
      <c r="G18" s="48" t="s">
        <v>12</v>
      </c>
      <c r="H18" s="48" t="s">
        <v>12</v>
      </c>
      <c r="I18" s="50">
        <f>SUM(I17:I17)</f>
        <v>0</v>
      </c>
      <c r="J18" s="50">
        <f>SUM(J17:J17)</f>
        <v>0</v>
      </c>
      <c r="K18" s="50">
        <f>SUM(K17:K17)</f>
        <v>0</v>
      </c>
    </row>
    <row r="21" spans="1:16" ht="15.75" x14ac:dyDescent="0.25">
      <c r="A21" s="46" t="s">
        <v>387</v>
      </c>
      <c r="B21" s="46" t="s">
        <v>375</v>
      </c>
      <c r="C21" s="46" t="s">
        <v>384</v>
      </c>
    </row>
    <row r="22" spans="1:16" ht="12.75" customHeight="1" x14ac:dyDescent="0.2">
      <c r="A22" s="241" t="s">
        <v>216</v>
      </c>
      <c r="B22" s="241" t="s">
        <v>1</v>
      </c>
      <c r="C22" s="285" t="s">
        <v>295</v>
      </c>
      <c r="D22" s="286"/>
      <c r="E22" s="287"/>
      <c r="F22" s="285" t="s">
        <v>296</v>
      </c>
      <c r="G22" s="286"/>
      <c r="H22" s="287"/>
      <c r="I22" s="285" t="s">
        <v>115</v>
      </c>
      <c r="J22" s="286"/>
      <c r="K22" s="287"/>
    </row>
    <row r="23" spans="1:16" x14ac:dyDescent="0.2">
      <c r="A23" s="241"/>
      <c r="B23" s="241"/>
      <c r="C23" s="204" t="s">
        <v>418</v>
      </c>
      <c r="D23" s="204" t="s">
        <v>451</v>
      </c>
      <c r="E23" s="204" t="s">
        <v>594</v>
      </c>
      <c r="F23" s="204" t="s">
        <v>418</v>
      </c>
      <c r="G23" s="204" t="s">
        <v>451</v>
      </c>
      <c r="H23" s="204" t="s">
        <v>594</v>
      </c>
      <c r="I23" s="204" t="s">
        <v>418</v>
      </c>
      <c r="J23" s="204" t="s">
        <v>451</v>
      </c>
      <c r="K23" s="204" t="s">
        <v>594</v>
      </c>
    </row>
    <row r="24" spans="1:16" ht="38.25" x14ac:dyDescent="0.2">
      <c r="A24" s="241"/>
      <c r="B24" s="241"/>
      <c r="C24" s="48" t="s">
        <v>75</v>
      </c>
      <c r="D24" s="48" t="s">
        <v>76</v>
      </c>
      <c r="E24" s="48" t="s">
        <v>77</v>
      </c>
      <c r="F24" s="48" t="s">
        <v>75</v>
      </c>
      <c r="G24" s="48" t="s">
        <v>76</v>
      </c>
      <c r="H24" s="48" t="s">
        <v>77</v>
      </c>
      <c r="I24" s="48" t="s">
        <v>75</v>
      </c>
      <c r="J24" s="48" t="s">
        <v>76</v>
      </c>
      <c r="K24" s="48" t="s">
        <v>77</v>
      </c>
    </row>
    <row r="25" spans="1:16" x14ac:dyDescent="0.2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</row>
    <row r="26" spans="1:16" x14ac:dyDescent="0.2">
      <c r="A26" s="6" t="s">
        <v>386</v>
      </c>
      <c r="B26" s="178" t="s">
        <v>486</v>
      </c>
      <c r="C26" s="6">
        <v>0</v>
      </c>
      <c r="D26" s="6"/>
      <c r="E26" s="6"/>
      <c r="F26" s="5" t="e">
        <f>I26/C26</f>
        <v>#DIV/0!</v>
      </c>
      <c r="G26" s="5"/>
      <c r="H26" s="5"/>
      <c r="I26" s="5"/>
      <c r="J26" s="5">
        <v>0</v>
      </c>
      <c r="K26" s="5">
        <f>J26</f>
        <v>0</v>
      </c>
    </row>
    <row r="27" spans="1:16" x14ac:dyDescent="0.2">
      <c r="A27" s="49" t="s">
        <v>135</v>
      </c>
      <c r="B27" s="48">
        <v>9000</v>
      </c>
      <c r="C27" s="48" t="s">
        <v>12</v>
      </c>
      <c r="D27" s="48" t="s">
        <v>12</v>
      </c>
      <c r="E27" s="48" t="s">
        <v>12</v>
      </c>
      <c r="F27" s="48" t="s">
        <v>12</v>
      </c>
      <c r="G27" s="48" t="s">
        <v>12</v>
      </c>
      <c r="H27" s="48" t="s">
        <v>12</v>
      </c>
      <c r="I27" s="50">
        <f>SUM(I26:I26)</f>
        <v>0</v>
      </c>
      <c r="J27" s="50">
        <f>SUM(J26:J26)</f>
        <v>0</v>
      </c>
      <c r="K27" s="50">
        <f>SUM(K26:K26)</f>
        <v>0</v>
      </c>
    </row>
    <row r="29" spans="1:16" hidden="1" x14ac:dyDescent="0.2"/>
    <row r="30" spans="1:16" ht="15.75" hidden="1" x14ac:dyDescent="0.25">
      <c r="A30" s="46" t="s">
        <v>377</v>
      </c>
      <c r="B30" s="46" t="s">
        <v>375</v>
      </c>
      <c r="C30" s="46">
        <v>1210086700</v>
      </c>
      <c r="D30" s="47">
        <v>622</v>
      </c>
      <c r="E30" s="47"/>
      <c r="F30" s="46"/>
      <c r="G30" s="46"/>
      <c r="H30" s="46"/>
      <c r="I30" s="46"/>
      <c r="J30" s="46"/>
      <c r="K30" s="46"/>
    </row>
    <row r="31" spans="1:16" ht="12.75" hidden="1" customHeight="1" x14ac:dyDescent="0.2">
      <c r="A31" s="241" t="s">
        <v>216</v>
      </c>
      <c r="B31" s="241" t="s">
        <v>1</v>
      </c>
      <c r="C31" s="247" t="s">
        <v>295</v>
      </c>
      <c r="D31" s="247"/>
      <c r="E31" s="247"/>
      <c r="F31" s="247" t="s">
        <v>296</v>
      </c>
      <c r="G31" s="247"/>
      <c r="H31" s="247"/>
      <c r="I31" s="247" t="s">
        <v>115</v>
      </c>
      <c r="J31" s="247"/>
      <c r="K31" s="247"/>
    </row>
    <row r="32" spans="1:16" hidden="1" x14ac:dyDescent="0.2">
      <c r="A32" s="241"/>
      <c r="B32" s="241"/>
      <c r="C32" s="48" t="s">
        <v>325</v>
      </c>
      <c r="D32" s="48" t="s">
        <v>409</v>
      </c>
      <c r="E32" s="48" t="s">
        <v>417</v>
      </c>
      <c r="F32" s="48" t="s">
        <v>325</v>
      </c>
      <c r="G32" s="48" t="s">
        <v>409</v>
      </c>
      <c r="H32" s="48" t="s">
        <v>417</v>
      </c>
      <c r="I32" s="48" t="s">
        <v>325</v>
      </c>
      <c r="J32" s="48" t="s">
        <v>409</v>
      </c>
      <c r="K32" s="48" t="s">
        <v>417</v>
      </c>
    </row>
    <row r="33" spans="1:11" ht="38.25" hidden="1" x14ac:dyDescent="0.2">
      <c r="A33" s="241"/>
      <c r="B33" s="241"/>
      <c r="C33" s="48" t="s">
        <v>75</v>
      </c>
      <c r="D33" s="48" t="s">
        <v>76</v>
      </c>
      <c r="E33" s="48" t="s">
        <v>77</v>
      </c>
      <c r="F33" s="48" t="s">
        <v>75</v>
      </c>
      <c r="G33" s="48" t="s">
        <v>76</v>
      </c>
      <c r="H33" s="48" t="s">
        <v>77</v>
      </c>
      <c r="I33" s="48" t="s">
        <v>75</v>
      </c>
      <c r="J33" s="48" t="s">
        <v>76</v>
      </c>
      <c r="K33" s="48" t="s">
        <v>77</v>
      </c>
    </row>
    <row r="34" spans="1:11" hidden="1" x14ac:dyDescent="0.2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  <c r="G34" s="2">
        <v>7</v>
      </c>
      <c r="H34" s="2">
        <v>8</v>
      </c>
      <c r="I34" s="2">
        <v>9</v>
      </c>
      <c r="J34" s="2">
        <v>10</v>
      </c>
      <c r="K34" s="2">
        <v>11</v>
      </c>
    </row>
    <row r="35" spans="1:11" hidden="1" x14ac:dyDescent="0.2">
      <c r="A35" s="6" t="s">
        <v>425</v>
      </c>
      <c r="B35" s="2">
        <v>1</v>
      </c>
      <c r="C35" s="6">
        <f>I35/F35</f>
        <v>0</v>
      </c>
      <c r="D35" s="6">
        <v>10</v>
      </c>
      <c r="E35" s="6">
        <v>10</v>
      </c>
      <c r="F35" s="5">
        <v>500</v>
      </c>
      <c r="G35" s="5">
        <v>500</v>
      </c>
      <c r="H35" s="5">
        <v>500</v>
      </c>
      <c r="I35" s="5"/>
      <c r="J35" s="5"/>
      <c r="K35" s="5">
        <f>J35</f>
        <v>0</v>
      </c>
    </row>
    <row r="36" spans="1:11" hidden="1" x14ac:dyDescent="0.2">
      <c r="A36" s="49" t="s">
        <v>135</v>
      </c>
      <c r="B36" s="48">
        <v>9000</v>
      </c>
      <c r="C36" s="48" t="s">
        <v>12</v>
      </c>
      <c r="D36" s="48" t="s">
        <v>12</v>
      </c>
      <c r="E36" s="48" t="s">
        <v>12</v>
      </c>
      <c r="F36" s="48" t="s">
        <v>12</v>
      </c>
      <c r="G36" s="48" t="s">
        <v>12</v>
      </c>
      <c r="H36" s="48" t="s">
        <v>12</v>
      </c>
      <c r="I36" s="50">
        <f>SUM(I35:I35)</f>
        <v>0</v>
      </c>
      <c r="J36" s="50">
        <f>SUM(J35:J35)</f>
        <v>0</v>
      </c>
      <c r="K36" s="50">
        <f>SUM(K35:K35)</f>
        <v>0</v>
      </c>
    </row>
    <row r="37" spans="1:11" hidden="1" x14ac:dyDescent="0.2"/>
    <row r="39" spans="1:11" ht="15.75" hidden="1" x14ac:dyDescent="0.25">
      <c r="A39" s="46" t="s">
        <v>377</v>
      </c>
      <c r="B39" s="46" t="s">
        <v>375</v>
      </c>
      <c r="C39" s="46" t="s">
        <v>376</v>
      </c>
      <c r="D39" s="47">
        <v>622</v>
      </c>
      <c r="E39" s="47"/>
      <c r="F39" s="46"/>
      <c r="G39" s="46"/>
      <c r="H39" s="46"/>
      <c r="I39" s="46"/>
      <c r="J39" s="46"/>
      <c r="K39" s="46"/>
    </row>
    <row r="40" spans="1:11" ht="12.75" hidden="1" customHeight="1" x14ac:dyDescent="0.2">
      <c r="A40" s="241" t="s">
        <v>216</v>
      </c>
      <c r="B40" s="241" t="s">
        <v>1</v>
      </c>
      <c r="C40" s="247" t="s">
        <v>295</v>
      </c>
      <c r="D40" s="247"/>
      <c r="E40" s="247"/>
      <c r="F40" s="247" t="s">
        <v>296</v>
      </c>
      <c r="G40" s="247"/>
      <c r="H40" s="247"/>
      <c r="I40" s="247" t="s">
        <v>115</v>
      </c>
      <c r="J40" s="247"/>
      <c r="K40" s="247"/>
    </row>
    <row r="41" spans="1:11" hidden="1" x14ac:dyDescent="0.2">
      <c r="A41" s="241"/>
      <c r="B41" s="241"/>
      <c r="C41" s="48" t="s">
        <v>409</v>
      </c>
      <c r="D41" s="48" t="s">
        <v>418</v>
      </c>
      <c r="E41" s="48" t="s">
        <v>453</v>
      </c>
      <c r="F41" s="48" t="s">
        <v>409</v>
      </c>
      <c r="G41" s="48" t="s">
        <v>418</v>
      </c>
      <c r="H41" s="48" t="s">
        <v>453</v>
      </c>
      <c r="I41" s="48" t="s">
        <v>409</v>
      </c>
      <c r="J41" s="48" t="s">
        <v>418</v>
      </c>
      <c r="K41" s="48" t="s">
        <v>453</v>
      </c>
    </row>
    <row r="42" spans="1:11" ht="38.25" hidden="1" x14ac:dyDescent="0.2">
      <c r="A42" s="241"/>
      <c r="B42" s="241"/>
      <c r="C42" s="48" t="s">
        <v>75</v>
      </c>
      <c r="D42" s="48" t="s">
        <v>76</v>
      </c>
      <c r="E42" s="48" t="s">
        <v>77</v>
      </c>
      <c r="F42" s="48" t="s">
        <v>75</v>
      </c>
      <c r="G42" s="48" t="s">
        <v>76</v>
      </c>
      <c r="H42" s="48" t="s">
        <v>77</v>
      </c>
      <c r="I42" s="48" t="s">
        <v>75</v>
      </c>
      <c r="J42" s="48" t="s">
        <v>76</v>
      </c>
      <c r="K42" s="48" t="s">
        <v>77</v>
      </c>
    </row>
    <row r="43" spans="1:11" hidden="1" x14ac:dyDescent="0.2">
      <c r="A43" s="2">
        <v>1</v>
      </c>
      <c r="B43" s="2">
        <v>2</v>
      </c>
      <c r="C43" s="2">
        <v>3</v>
      </c>
      <c r="D43" s="2">
        <v>4</v>
      </c>
      <c r="E43" s="2">
        <v>5</v>
      </c>
      <c r="F43" s="2">
        <v>6</v>
      </c>
      <c r="G43" s="2">
        <v>7</v>
      </c>
      <c r="H43" s="2">
        <v>8</v>
      </c>
      <c r="I43" s="2">
        <v>9</v>
      </c>
      <c r="J43" s="2">
        <v>10</v>
      </c>
      <c r="K43" s="2">
        <v>11</v>
      </c>
    </row>
    <row r="44" spans="1:11" hidden="1" x14ac:dyDescent="0.2">
      <c r="A44" s="6" t="s">
        <v>437</v>
      </c>
      <c r="B44" s="2">
        <v>1</v>
      </c>
      <c r="C44" s="6">
        <v>2</v>
      </c>
      <c r="D44" s="6"/>
      <c r="E44" s="6"/>
      <c r="F44" s="5">
        <f>I44/C44</f>
        <v>0</v>
      </c>
      <c r="G44" s="5"/>
      <c r="H44" s="5"/>
      <c r="I44" s="5"/>
      <c r="J44" s="5"/>
      <c r="K44" s="5">
        <f>J44</f>
        <v>0</v>
      </c>
    </row>
    <row r="45" spans="1:11" hidden="1" x14ac:dyDescent="0.2">
      <c r="A45" s="6" t="s">
        <v>438</v>
      </c>
      <c r="B45" s="2"/>
      <c r="C45" s="6">
        <v>3</v>
      </c>
      <c r="D45" s="6"/>
      <c r="E45" s="6"/>
      <c r="F45" s="5">
        <f>I45/C45</f>
        <v>0</v>
      </c>
      <c r="G45" s="5"/>
      <c r="H45" s="5"/>
      <c r="I45" s="5"/>
      <c r="J45" s="5"/>
      <c r="K45" s="5"/>
    </row>
    <row r="46" spans="1:11" hidden="1" x14ac:dyDescent="0.2">
      <c r="A46" s="49" t="s">
        <v>135</v>
      </c>
      <c r="B46" s="48">
        <v>9000</v>
      </c>
      <c r="C46" s="48" t="s">
        <v>12</v>
      </c>
      <c r="D46" s="48" t="s">
        <v>12</v>
      </c>
      <c r="E46" s="48" t="s">
        <v>12</v>
      </c>
      <c r="F46" s="48" t="s">
        <v>12</v>
      </c>
      <c r="G46" s="48" t="s">
        <v>12</v>
      </c>
      <c r="H46" s="48" t="s">
        <v>12</v>
      </c>
      <c r="I46" s="50">
        <f>SUM(I44:I45)</f>
        <v>0</v>
      </c>
      <c r="J46" s="50">
        <f>SUM(J44:J44)</f>
        <v>0</v>
      </c>
      <c r="K46" s="50">
        <f>SUM(K44:K44)</f>
        <v>0</v>
      </c>
    </row>
    <row r="47" spans="1:11" hidden="1" x14ac:dyDescent="0.2"/>
    <row r="48" spans="1:11" hidden="1" x14ac:dyDescent="0.2"/>
    <row r="49" spans="1:11" ht="15.75" x14ac:dyDescent="0.25">
      <c r="A49" s="46" t="s">
        <v>322</v>
      </c>
      <c r="B49" s="46" t="s">
        <v>375</v>
      </c>
      <c r="C49" s="46" t="s">
        <v>394</v>
      </c>
    </row>
    <row r="50" spans="1:11" x14ac:dyDescent="0.2">
      <c r="A50" s="241" t="s">
        <v>216</v>
      </c>
      <c r="B50" s="241" t="s">
        <v>1</v>
      </c>
      <c r="C50" s="247" t="s">
        <v>295</v>
      </c>
      <c r="D50" s="247"/>
      <c r="E50" s="247"/>
      <c r="F50" s="247" t="s">
        <v>296</v>
      </c>
      <c r="G50" s="247"/>
      <c r="H50" s="247"/>
      <c r="I50" s="247" t="s">
        <v>115</v>
      </c>
      <c r="J50" s="247"/>
      <c r="K50" s="247"/>
    </row>
    <row r="51" spans="1:11" x14ac:dyDescent="0.2">
      <c r="A51" s="241"/>
      <c r="B51" s="241"/>
      <c r="C51" s="204" t="s">
        <v>418</v>
      </c>
      <c r="D51" s="204" t="s">
        <v>451</v>
      </c>
      <c r="E51" s="204" t="s">
        <v>594</v>
      </c>
      <c r="F51" s="204" t="s">
        <v>418</v>
      </c>
      <c r="G51" s="204" t="s">
        <v>451</v>
      </c>
      <c r="H51" s="204" t="s">
        <v>594</v>
      </c>
      <c r="I51" s="204" t="s">
        <v>418</v>
      </c>
      <c r="J51" s="204" t="s">
        <v>451</v>
      </c>
      <c r="K51" s="204" t="s">
        <v>594</v>
      </c>
    </row>
    <row r="52" spans="1:11" ht="38.25" x14ac:dyDescent="0.2">
      <c r="A52" s="241"/>
      <c r="B52" s="241"/>
      <c r="C52" s="48" t="s">
        <v>75</v>
      </c>
      <c r="D52" s="48" t="s">
        <v>76</v>
      </c>
      <c r="E52" s="48" t="s">
        <v>77</v>
      </c>
      <c r="F52" s="48" t="s">
        <v>75</v>
      </c>
      <c r="G52" s="48" t="s">
        <v>76</v>
      </c>
      <c r="H52" s="48" t="s">
        <v>77</v>
      </c>
      <c r="I52" s="48" t="s">
        <v>75</v>
      </c>
      <c r="J52" s="48" t="s">
        <v>76</v>
      </c>
      <c r="K52" s="48" t="s">
        <v>77</v>
      </c>
    </row>
    <row r="53" spans="1:11" x14ac:dyDescent="0.2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2">
        <v>7</v>
      </c>
      <c r="H53" s="2">
        <v>8</v>
      </c>
      <c r="I53" s="2">
        <v>9</v>
      </c>
      <c r="J53" s="2">
        <v>10</v>
      </c>
      <c r="K53" s="2">
        <v>11</v>
      </c>
    </row>
    <row r="54" spans="1:11" x14ac:dyDescent="0.2">
      <c r="A54" s="2" t="s">
        <v>437</v>
      </c>
      <c r="B54" s="178" t="s">
        <v>486</v>
      </c>
      <c r="C54" s="2">
        <v>3</v>
      </c>
      <c r="D54" s="2"/>
      <c r="E54" s="2"/>
      <c r="F54" s="27">
        <f>I54/C54</f>
        <v>0</v>
      </c>
      <c r="G54" s="2"/>
      <c r="H54" s="2"/>
      <c r="I54" s="5">
        <v>0</v>
      </c>
      <c r="J54" s="7"/>
      <c r="K54" s="7"/>
    </row>
    <row r="55" spans="1:11" x14ac:dyDescent="0.2">
      <c r="A55" s="49" t="s">
        <v>135</v>
      </c>
      <c r="B55" s="48">
        <v>9000</v>
      </c>
      <c r="C55" s="48" t="s">
        <v>12</v>
      </c>
      <c r="D55" s="48" t="s">
        <v>12</v>
      </c>
      <c r="E55" s="48" t="s">
        <v>12</v>
      </c>
      <c r="F55" s="48" t="s">
        <v>12</v>
      </c>
      <c r="G55" s="48" t="s">
        <v>12</v>
      </c>
      <c r="H55" s="48" t="s">
        <v>12</v>
      </c>
      <c r="I55" s="50">
        <f>SUM(I54:I54)</f>
        <v>0</v>
      </c>
      <c r="J55" s="50">
        <f>SUM(J54:J54)</f>
        <v>0</v>
      </c>
      <c r="K55" s="50">
        <f>SUM(K54:K54)</f>
        <v>0</v>
      </c>
    </row>
    <row r="58" spans="1:11" ht="15.75" x14ac:dyDescent="0.25">
      <c r="A58" s="46" t="s">
        <v>377</v>
      </c>
      <c r="B58" s="46" t="s">
        <v>375</v>
      </c>
      <c r="C58" s="46" t="s">
        <v>376</v>
      </c>
      <c r="D58" s="129">
        <v>622</v>
      </c>
      <c r="E58" s="129"/>
      <c r="F58" s="46"/>
      <c r="G58" s="46"/>
      <c r="H58" s="46"/>
      <c r="I58" s="46"/>
      <c r="J58" s="46"/>
      <c r="K58" s="46"/>
    </row>
    <row r="59" spans="1:11" x14ac:dyDescent="0.2">
      <c r="A59" s="241" t="s">
        <v>216</v>
      </c>
      <c r="B59" s="241" t="s">
        <v>1</v>
      </c>
      <c r="C59" s="247" t="s">
        <v>295</v>
      </c>
      <c r="D59" s="247"/>
      <c r="E59" s="247"/>
      <c r="F59" s="247" t="s">
        <v>296</v>
      </c>
      <c r="G59" s="247"/>
      <c r="H59" s="247"/>
      <c r="I59" s="247" t="s">
        <v>115</v>
      </c>
      <c r="J59" s="247"/>
      <c r="K59" s="247"/>
    </row>
    <row r="60" spans="1:11" x14ac:dyDescent="0.2">
      <c r="A60" s="241"/>
      <c r="B60" s="241"/>
      <c r="C60" s="204" t="s">
        <v>418</v>
      </c>
      <c r="D60" s="204" t="s">
        <v>451</v>
      </c>
      <c r="E60" s="204" t="s">
        <v>594</v>
      </c>
      <c r="F60" s="204" t="s">
        <v>418</v>
      </c>
      <c r="G60" s="204" t="s">
        <v>451</v>
      </c>
      <c r="H60" s="204" t="s">
        <v>594</v>
      </c>
      <c r="I60" s="204" t="s">
        <v>418</v>
      </c>
      <c r="J60" s="204" t="s">
        <v>451</v>
      </c>
      <c r="K60" s="204" t="s">
        <v>594</v>
      </c>
    </row>
    <row r="61" spans="1:11" ht="38.25" x14ac:dyDescent="0.2">
      <c r="A61" s="241"/>
      <c r="B61" s="241"/>
      <c r="C61" s="132" t="s">
        <v>75</v>
      </c>
      <c r="D61" s="132" t="s">
        <v>76</v>
      </c>
      <c r="E61" s="132" t="s">
        <v>77</v>
      </c>
      <c r="F61" s="132" t="s">
        <v>75</v>
      </c>
      <c r="G61" s="132" t="s">
        <v>76</v>
      </c>
      <c r="H61" s="132" t="s">
        <v>77</v>
      </c>
      <c r="I61" s="132" t="s">
        <v>75</v>
      </c>
      <c r="J61" s="132" t="s">
        <v>76</v>
      </c>
      <c r="K61" s="132" t="s">
        <v>77</v>
      </c>
    </row>
    <row r="62" spans="1:11" x14ac:dyDescent="0.2">
      <c r="A62" s="130">
        <v>1</v>
      </c>
      <c r="B62" s="130">
        <v>2</v>
      </c>
      <c r="C62" s="130">
        <v>3</v>
      </c>
      <c r="D62" s="130">
        <v>4</v>
      </c>
      <c r="E62" s="130">
        <v>5</v>
      </c>
      <c r="F62" s="130">
        <v>6</v>
      </c>
      <c r="G62" s="130">
        <v>7</v>
      </c>
      <c r="H62" s="130">
        <v>8</v>
      </c>
      <c r="I62" s="130">
        <v>9</v>
      </c>
      <c r="J62" s="130">
        <v>10</v>
      </c>
      <c r="K62" s="130">
        <v>11</v>
      </c>
    </row>
    <row r="63" spans="1:11" x14ac:dyDescent="0.2">
      <c r="A63" s="138" t="s">
        <v>471</v>
      </c>
      <c r="B63" s="178" t="s">
        <v>486</v>
      </c>
      <c r="C63" s="130"/>
      <c r="D63" s="130"/>
      <c r="E63" s="130"/>
      <c r="F63" s="27"/>
      <c r="G63" s="27"/>
      <c r="H63" s="27"/>
      <c r="I63" s="78"/>
      <c r="J63" s="130"/>
      <c r="K63" s="130"/>
    </row>
    <row r="64" spans="1:11" x14ac:dyDescent="0.2">
      <c r="A64" s="133" t="s">
        <v>472</v>
      </c>
      <c r="B64" s="178" t="s">
        <v>487</v>
      </c>
      <c r="C64" s="133"/>
      <c r="D64" s="133"/>
      <c r="E64" s="133"/>
      <c r="F64" s="131"/>
      <c r="G64" s="131"/>
      <c r="H64" s="131"/>
      <c r="I64" s="33"/>
      <c r="J64" s="131"/>
      <c r="K64" s="131"/>
    </row>
    <row r="65" spans="1:11" x14ac:dyDescent="0.2">
      <c r="A65" s="133" t="s">
        <v>473</v>
      </c>
      <c r="B65" s="178" t="s">
        <v>488</v>
      </c>
      <c r="C65" s="133"/>
      <c r="D65" s="133"/>
      <c r="E65" s="133"/>
      <c r="F65" s="131"/>
      <c r="G65" s="131"/>
      <c r="H65" s="131"/>
      <c r="I65" s="33"/>
      <c r="J65" s="131"/>
      <c r="K65" s="131"/>
    </row>
    <row r="66" spans="1:11" x14ac:dyDescent="0.2">
      <c r="A66" s="133" t="s">
        <v>474</v>
      </c>
      <c r="B66" s="178" t="s">
        <v>511</v>
      </c>
      <c r="C66" s="133"/>
      <c r="D66" s="133"/>
      <c r="E66" s="133"/>
      <c r="F66" s="131"/>
      <c r="G66" s="131"/>
      <c r="H66" s="131"/>
      <c r="I66" s="33"/>
      <c r="J66" s="131"/>
      <c r="K66" s="131"/>
    </row>
    <row r="67" spans="1:11" x14ac:dyDescent="0.2">
      <c r="A67" s="49" t="s">
        <v>135</v>
      </c>
      <c r="B67" s="132">
        <v>9000</v>
      </c>
      <c r="C67" s="132" t="s">
        <v>12</v>
      </c>
      <c r="D67" s="132" t="s">
        <v>12</v>
      </c>
      <c r="E67" s="132" t="s">
        <v>12</v>
      </c>
      <c r="F67" s="132" t="s">
        <v>12</v>
      </c>
      <c r="G67" s="132" t="s">
        <v>12</v>
      </c>
      <c r="H67" s="132" t="s">
        <v>12</v>
      </c>
      <c r="I67" s="50">
        <f>I63+I64+I65+I66</f>
        <v>0</v>
      </c>
      <c r="J67" s="50">
        <f>SUM(J64:J64)</f>
        <v>0</v>
      </c>
      <c r="K67" s="50">
        <f>SUM(K64:K64)</f>
        <v>0</v>
      </c>
    </row>
    <row r="70" spans="1:11" ht="15.75" x14ac:dyDescent="0.25">
      <c r="A70" s="46" t="s">
        <v>476</v>
      </c>
      <c r="B70" s="46" t="s">
        <v>477</v>
      </c>
      <c r="C70" s="46" t="s">
        <v>478</v>
      </c>
      <c r="D70" s="129">
        <v>624</v>
      </c>
      <c r="E70" s="129"/>
      <c r="F70" s="46"/>
      <c r="G70" s="46"/>
      <c r="H70" s="46"/>
      <c r="I70" s="46"/>
      <c r="J70" s="46"/>
      <c r="K70" s="46"/>
    </row>
    <row r="71" spans="1:11" x14ac:dyDescent="0.2">
      <c r="A71" s="241" t="s">
        <v>216</v>
      </c>
      <c r="B71" s="241" t="s">
        <v>1</v>
      </c>
      <c r="C71" s="247" t="s">
        <v>295</v>
      </c>
      <c r="D71" s="247"/>
      <c r="E71" s="247"/>
      <c r="F71" s="247" t="s">
        <v>296</v>
      </c>
      <c r="G71" s="247"/>
      <c r="H71" s="247"/>
      <c r="I71" s="247" t="s">
        <v>115</v>
      </c>
      <c r="J71" s="247"/>
      <c r="K71" s="247"/>
    </row>
    <row r="72" spans="1:11" x14ac:dyDescent="0.2">
      <c r="A72" s="241"/>
      <c r="B72" s="241"/>
      <c r="C72" s="204" t="s">
        <v>418</v>
      </c>
      <c r="D72" s="204" t="s">
        <v>451</v>
      </c>
      <c r="E72" s="204" t="s">
        <v>594</v>
      </c>
      <c r="F72" s="204" t="s">
        <v>418</v>
      </c>
      <c r="G72" s="204" t="s">
        <v>451</v>
      </c>
      <c r="H72" s="204" t="s">
        <v>594</v>
      </c>
      <c r="I72" s="204" t="s">
        <v>418</v>
      </c>
      <c r="J72" s="204" t="s">
        <v>451</v>
      </c>
      <c r="K72" s="204" t="s">
        <v>594</v>
      </c>
    </row>
    <row r="73" spans="1:11" ht="38.25" x14ac:dyDescent="0.2">
      <c r="A73" s="241"/>
      <c r="B73" s="241"/>
      <c r="C73" s="132" t="s">
        <v>75</v>
      </c>
      <c r="D73" s="132" t="s">
        <v>76</v>
      </c>
      <c r="E73" s="132" t="s">
        <v>77</v>
      </c>
      <c r="F73" s="132" t="s">
        <v>75</v>
      </c>
      <c r="G73" s="132" t="s">
        <v>76</v>
      </c>
      <c r="H73" s="132" t="s">
        <v>77</v>
      </c>
      <c r="I73" s="132" t="s">
        <v>75</v>
      </c>
      <c r="J73" s="132" t="s">
        <v>76</v>
      </c>
      <c r="K73" s="132" t="s">
        <v>77</v>
      </c>
    </row>
    <row r="74" spans="1:11" x14ac:dyDescent="0.2">
      <c r="A74" s="130">
        <v>1</v>
      </c>
      <c r="B74" s="130">
        <v>2</v>
      </c>
      <c r="C74" s="130">
        <v>3</v>
      </c>
      <c r="D74" s="130">
        <v>4</v>
      </c>
      <c r="E74" s="130">
        <v>5</v>
      </c>
      <c r="F74" s="130">
        <v>6</v>
      </c>
      <c r="G74" s="130">
        <v>7</v>
      </c>
      <c r="H74" s="130">
        <v>8</v>
      </c>
      <c r="I74" s="130">
        <v>9</v>
      </c>
      <c r="J74" s="130">
        <v>10</v>
      </c>
      <c r="K74" s="130">
        <v>11</v>
      </c>
    </row>
    <row r="75" spans="1:11" x14ac:dyDescent="0.2">
      <c r="A75" s="138" t="s">
        <v>386</v>
      </c>
      <c r="B75" s="178" t="s">
        <v>486</v>
      </c>
      <c r="C75" s="27"/>
      <c r="D75" s="130"/>
      <c r="E75" s="130"/>
      <c r="F75" s="27">
        <f>I75</f>
        <v>0</v>
      </c>
      <c r="G75" s="27"/>
      <c r="H75" s="27"/>
      <c r="I75" s="27"/>
      <c r="J75" s="130"/>
      <c r="K75" s="130"/>
    </row>
    <row r="76" spans="1:11" x14ac:dyDescent="0.2">
      <c r="A76" s="138"/>
      <c r="B76" s="130"/>
      <c r="C76" s="130"/>
      <c r="D76" s="130"/>
      <c r="E76" s="130"/>
      <c r="F76" s="27"/>
      <c r="G76" s="27"/>
      <c r="H76" s="27"/>
      <c r="I76" s="27"/>
      <c r="J76" s="130"/>
      <c r="K76" s="130"/>
    </row>
    <row r="77" spans="1:11" x14ac:dyDescent="0.2">
      <c r="A77" s="133"/>
      <c r="B77" s="130">
        <v>1</v>
      </c>
      <c r="C77" s="133"/>
      <c r="D77" s="133"/>
      <c r="E77" s="133"/>
      <c r="F77" s="131"/>
      <c r="G77" s="131"/>
      <c r="H77" s="131"/>
      <c r="I77" s="131"/>
      <c r="J77" s="131"/>
      <c r="K77" s="131">
        <f>J77</f>
        <v>0</v>
      </c>
    </row>
    <row r="78" spans="1:11" x14ac:dyDescent="0.2">
      <c r="A78" s="49" t="s">
        <v>135</v>
      </c>
      <c r="B78" s="132">
        <v>9000</v>
      </c>
      <c r="C78" s="132" t="s">
        <v>12</v>
      </c>
      <c r="D78" s="132" t="s">
        <v>12</v>
      </c>
      <c r="E78" s="132" t="s">
        <v>12</v>
      </c>
      <c r="F78" s="132" t="s">
        <v>12</v>
      </c>
      <c r="G78" s="132" t="s">
        <v>12</v>
      </c>
      <c r="H78" s="132" t="s">
        <v>12</v>
      </c>
      <c r="I78" s="50">
        <f>I75+I76+I77</f>
        <v>0</v>
      </c>
      <c r="J78" s="50">
        <f>SUM(J77:J77)</f>
        <v>0</v>
      </c>
      <c r="K78" s="50">
        <f>SUM(K77:K77)</f>
        <v>0</v>
      </c>
    </row>
  </sheetData>
  <mergeCells count="40">
    <mergeCell ref="A50:A52"/>
    <mergeCell ref="B50:B52"/>
    <mergeCell ref="C50:E50"/>
    <mergeCell ref="F50:H50"/>
    <mergeCell ref="I50:K50"/>
    <mergeCell ref="A40:A42"/>
    <mergeCell ref="B40:B42"/>
    <mergeCell ref="C40:E40"/>
    <mergeCell ref="F40:H40"/>
    <mergeCell ref="I40:K40"/>
    <mergeCell ref="A31:A33"/>
    <mergeCell ref="B31:B33"/>
    <mergeCell ref="C31:E31"/>
    <mergeCell ref="F31:H31"/>
    <mergeCell ref="I31:K31"/>
    <mergeCell ref="A4:A6"/>
    <mergeCell ref="B4:B6"/>
    <mergeCell ref="C4:E4"/>
    <mergeCell ref="F4:H4"/>
    <mergeCell ref="I4:K4"/>
    <mergeCell ref="A13:A15"/>
    <mergeCell ref="B13:B15"/>
    <mergeCell ref="C13:E13"/>
    <mergeCell ref="F13:H13"/>
    <mergeCell ref="I13:K13"/>
    <mergeCell ref="A22:A24"/>
    <mergeCell ref="B22:B24"/>
    <mergeCell ref="C22:E22"/>
    <mergeCell ref="F22:H22"/>
    <mergeCell ref="I22:K22"/>
    <mergeCell ref="A59:A61"/>
    <mergeCell ref="B59:B61"/>
    <mergeCell ref="C59:E59"/>
    <mergeCell ref="F59:H59"/>
    <mergeCell ref="I59:K59"/>
    <mergeCell ref="A71:A73"/>
    <mergeCell ref="B71:B73"/>
    <mergeCell ref="C71:E71"/>
    <mergeCell ref="F71:H71"/>
    <mergeCell ref="I71:K71"/>
  </mergeCells>
  <pageMargins left="0.7" right="0.7" top="0.75" bottom="0.75" header="0.3" footer="0.3"/>
  <pageSetup paperSize="9" scale="5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15"/>
  <sheetViews>
    <sheetView topLeftCell="A59" workbookViewId="0">
      <selection sqref="A1:K75"/>
    </sheetView>
  </sheetViews>
  <sheetFormatPr defaultRowHeight="12.75" x14ac:dyDescent="0.2"/>
  <cols>
    <col min="1" max="1" width="28.85546875" style="3" customWidth="1"/>
    <col min="2" max="2" width="9.140625" style="3"/>
    <col min="3" max="11" width="14.5703125" style="3" customWidth="1"/>
    <col min="12" max="16384" width="9.140625" style="3"/>
  </cols>
  <sheetData>
    <row r="1" spans="1:11" ht="15.75" x14ac:dyDescent="0.25">
      <c r="A1" s="46" t="s">
        <v>297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 x14ac:dyDescent="0.25">
      <c r="A3" s="46" t="s">
        <v>377</v>
      </c>
      <c r="B3" s="46" t="s">
        <v>375</v>
      </c>
      <c r="C3" s="46" t="s">
        <v>376</v>
      </c>
      <c r="D3" s="47">
        <v>621</v>
      </c>
      <c r="E3" s="47"/>
      <c r="F3" s="46"/>
      <c r="G3" s="46"/>
      <c r="H3" s="46"/>
      <c r="I3" s="46"/>
      <c r="J3" s="46"/>
      <c r="K3" s="46"/>
    </row>
    <row r="4" spans="1:11" x14ac:dyDescent="0.2">
      <c r="A4" s="241" t="s">
        <v>216</v>
      </c>
      <c r="B4" s="241" t="s">
        <v>1</v>
      </c>
      <c r="C4" s="247" t="s">
        <v>295</v>
      </c>
      <c r="D4" s="247"/>
      <c r="E4" s="247"/>
      <c r="F4" s="247" t="s">
        <v>296</v>
      </c>
      <c r="G4" s="247"/>
      <c r="H4" s="247"/>
      <c r="I4" s="247" t="s">
        <v>115</v>
      </c>
      <c r="J4" s="247"/>
      <c r="K4" s="247"/>
    </row>
    <row r="5" spans="1:11" x14ac:dyDescent="0.2">
      <c r="A5" s="241"/>
      <c r="B5" s="241"/>
      <c r="C5" s="204" t="s">
        <v>418</v>
      </c>
      <c r="D5" s="204" t="s">
        <v>451</v>
      </c>
      <c r="E5" s="204" t="s">
        <v>594</v>
      </c>
      <c r="F5" s="204" t="s">
        <v>418</v>
      </c>
      <c r="G5" s="204" t="s">
        <v>451</v>
      </c>
      <c r="H5" s="204" t="s">
        <v>594</v>
      </c>
      <c r="I5" s="204" t="s">
        <v>418</v>
      </c>
      <c r="J5" s="204" t="s">
        <v>451</v>
      </c>
      <c r="K5" s="204" t="s">
        <v>594</v>
      </c>
    </row>
    <row r="6" spans="1:11" ht="38.25" x14ac:dyDescent="0.2">
      <c r="A6" s="241"/>
      <c r="B6" s="241"/>
      <c r="C6" s="48" t="s">
        <v>75</v>
      </c>
      <c r="D6" s="48" t="s">
        <v>76</v>
      </c>
      <c r="E6" s="48" t="s">
        <v>77</v>
      </c>
      <c r="F6" s="48" t="s">
        <v>75</v>
      </c>
      <c r="G6" s="48" t="s">
        <v>76</v>
      </c>
      <c r="H6" s="48" t="s">
        <v>77</v>
      </c>
      <c r="I6" s="48" t="s">
        <v>75</v>
      </c>
      <c r="J6" s="48" t="s">
        <v>76</v>
      </c>
      <c r="K6" s="48" t="s">
        <v>77</v>
      </c>
    </row>
    <row r="7" spans="1:1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x14ac:dyDescent="0.2">
      <c r="A8" s="200" t="s">
        <v>575</v>
      </c>
      <c r="B8" s="178" t="s">
        <v>486</v>
      </c>
      <c r="C8" s="6">
        <v>30</v>
      </c>
      <c r="D8" s="6">
        <v>30</v>
      </c>
      <c r="E8" s="6">
        <v>30</v>
      </c>
      <c r="F8" s="5">
        <v>260</v>
      </c>
      <c r="G8" s="5">
        <v>260</v>
      </c>
      <c r="H8" s="5">
        <v>260</v>
      </c>
      <c r="I8" s="189">
        <v>85574.62</v>
      </c>
      <c r="J8" s="5">
        <f>I8</f>
        <v>85574.62</v>
      </c>
      <c r="K8" s="5">
        <f>J8</f>
        <v>85574.62</v>
      </c>
    </row>
    <row r="9" spans="1:11" x14ac:dyDescent="0.2">
      <c r="A9" s="200" t="s">
        <v>576</v>
      </c>
      <c r="B9" s="178" t="s">
        <v>487</v>
      </c>
      <c r="C9" s="6">
        <v>160</v>
      </c>
      <c r="D9" s="6">
        <v>160</v>
      </c>
      <c r="E9" s="6">
        <v>160</v>
      </c>
      <c r="F9" s="5">
        <f>I9/C9</f>
        <v>62.5</v>
      </c>
      <c r="G9" s="5">
        <f t="shared" ref="G9:H9" si="0">J9/D9</f>
        <v>62.5</v>
      </c>
      <c r="H9" s="5">
        <f t="shared" si="0"/>
        <v>62.5</v>
      </c>
      <c r="I9" s="189">
        <v>10000</v>
      </c>
      <c r="J9" s="185">
        <f t="shared" ref="J9:J17" si="1">I9</f>
        <v>10000</v>
      </c>
      <c r="K9" s="5">
        <f t="shared" ref="K9:K17" si="2">J9</f>
        <v>10000</v>
      </c>
    </row>
    <row r="10" spans="1:11" x14ac:dyDescent="0.2">
      <c r="A10" s="200" t="s">
        <v>577</v>
      </c>
      <c r="B10" s="178" t="s">
        <v>488</v>
      </c>
      <c r="C10" s="6">
        <v>134</v>
      </c>
      <c r="D10" s="6">
        <v>134</v>
      </c>
      <c r="E10" s="6">
        <v>134</v>
      </c>
      <c r="F10" s="5">
        <f t="shared" ref="F10:F17" si="3">I10/C10</f>
        <v>73.134328358208961</v>
      </c>
      <c r="G10" s="5">
        <f t="shared" ref="G10:G17" si="4">J10/D10</f>
        <v>73.134328358208961</v>
      </c>
      <c r="H10" s="5">
        <f t="shared" ref="H10:H17" si="5">K10/E10</f>
        <v>73.134328358208961</v>
      </c>
      <c r="I10" s="189">
        <v>9800</v>
      </c>
      <c r="J10" s="185">
        <f t="shared" si="1"/>
        <v>9800</v>
      </c>
      <c r="K10" s="5">
        <f t="shared" si="2"/>
        <v>9800</v>
      </c>
    </row>
    <row r="11" spans="1:11" x14ac:dyDescent="0.2">
      <c r="A11" s="200" t="s">
        <v>578</v>
      </c>
      <c r="B11" s="178" t="s">
        <v>511</v>
      </c>
      <c r="C11" s="6">
        <v>350</v>
      </c>
      <c r="D11" s="6">
        <v>350</v>
      </c>
      <c r="E11" s="6">
        <v>350</v>
      </c>
      <c r="F11" s="5">
        <f t="shared" si="3"/>
        <v>45.714285714285715</v>
      </c>
      <c r="G11" s="5">
        <f t="shared" si="4"/>
        <v>45.714285714285715</v>
      </c>
      <c r="H11" s="5">
        <f t="shared" si="5"/>
        <v>45.714285714285715</v>
      </c>
      <c r="I11" s="189">
        <v>16000</v>
      </c>
      <c r="J11" s="185">
        <f t="shared" si="1"/>
        <v>16000</v>
      </c>
      <c r="K11" s="5">
        <f t="shared" si="2"/>
        <v>16000</v>
      </c>
    </row>
    <row r="12" spans="1:11" x14ac:dyDescent="0.2">
      <c r="A12" s="200" t="s">
        <v>579</v>
      </c>
      <c r="B12" s="178" t="s">
        <v>512</v>
      </c>
      <c r="C12" s="6">
        <v>74</v>
      </c>
      <c r="D12" s="6">
        <v>74</v>
      </c>
      <c r="E12" s="6">
        <v>74</v>
      </c>
      <c r="F12" s="5">
        <f t="shared" si="3"/>
        <v>202.70270270270271</v>
      </c>
      <c r="G12" s="5">
        <f t="shared" si="4"/>
        <v>202.70270270270271</v>
      </c>
      <c r="H12" s="5">
        <f t="shared" si="5"/>
        <v>202.70270270270271</v>
      </c>
      <c r="I12" s="189">
        <v>15000</v>
      </c>
      <c r="J12" s="185">
        <f t="shared" si="1"/>
        <v>15000</v>
      </c>
      <c r="K12" s="5">
        <f t="shared" si="2"/>
        <v>15000</v>
      </c>
    </row>
    <row r="13" spans="1:11" x14ac:dyDescent="0.2">
      <c r="A13" s="200" t="s">
        <v>580</v>
      </c>
      <c r="B13" s="178" t="s">
        <v>513</v>
      </c>
      <c r="C13" s="6">
        <v>30</v>
      </c>
      <c r="D13" s="6">
        <v>30</v>
      </c>
      <c r="E13" s="6">
        <v>30</v>
      </c>
      <c r="F13" s="5">
        <f t="shared" si="3"/>
        <v>1666.6666666666667</v>
      </c>
      <c r="G13" s="5">
        <f t="shared" si="4"/>
        <v>1666.6666666666667</v>
      </c>
      <c r="H13" s="5">
        <f t="shared" si="5"/>
        <v>1666.6666666666667</v>
      </c>
      <c r="I13" s="189">
        <v>50000</v>
      </c>
      <c r="J13" s="185">
        <f t="shared" si="1"/>
        <v>50000</v>
      </c>
      <c r="K13" s="5">
        <f t="shared" si="2"/>
        <v>50000</v>
      </c>
    </row>
    <row r="14" spans="1:11" x14ac:dyDescent="0.2">
      <c r="A14" s="200" t="s">
        <v>581</v>
      </c>
      <c r="B14" s="178" t="s">
        <v>514</v>
      </c>
      <c r="C14" s="6">
        <v>30</v>
      </c>
      <c r="D14" s="6">
        <v>30</v>
      </c>
      <c r="E14" s="6">
        <v>30</v>
      </c>
      <c r="F14" s="5">
        <f t="shared" si="3"/>
        <v>533.33333333333337</v>
      </c>
      <c r="G14" s="5">
        <f t="shared" si="4"/>
        <v>533.33333333333337</v>
      </c>
      <c r="H14" s="5">
        <f t="shared" si="5"/>
        <v>533.33333333333337</v>
      </c>
      <c r="I14" s="189">
        <v>16000</v>
      </c>
      <c r="J14" s="185">
        <f t="shared" si="1"/>
        <v>16000</v>
      </c>
      <c r="K14" s="5">
        <f t="shared" si="2"/>
        <v>16000</v>
      </c>
    </row>
    <row r="15" spans="1:11" x14ac:dyDescent="0.2">
      <c r="A15" s="200" t="s">
        <v>582</v>
      </c>
      <c r="B15" s="178" t="s">
        <v>515</v>
      </c>
      <c r="C15" s="6">
        <v>9</v>
      </c>
      <c r="D15" s="6">
        <v>9</v>
      </c>
      <c r="E15" s="6">
        <v>9</v>
      </c>
      <c r="F15" s="5">
        <f t="shared" si="3"/>
        <v>777.77777777777783</v>
      </c>
      <c r="G15" s="5">
        <f t="shared" si="4"/>
        <v>777.77777777777783</v>
      </c>
      <c r="H15" s="5">
        <f t="shared" si="5"/>
        <v>777.77777777777783</v>
      </c>
      <c r="I15" s="189">
        <v>7000</v>
      </c>
      <c r="J15" s="185">
        <f t="shared" si="1"/>
        <v>7000</v>
      </c>
      <c r="K15" s="5">
        <f t="shared" si="2"/>
        <v>7000</v>
      </c>
    </row>
    <row r="16" spans="1:11" x14ac:dyDescent="0.2">
      <c r="A16" s="200" t="s">
        <v>583</v>
      </c>
      <c r="B16" s="178" t="s">
        <v>516</v>
      </c>
      <c r="C16" s="6">
        <v>10</v>
      </c>
      <c r="D16" s="6">
        <v>10</v>
      </c>
      <c r="E16" s="6">
        <v>10</v>
      </c>
      <c r="F16" s="5">
        <v>700</v>
      </c>
      <c r="G16" s="5">
        <f t="shared" si="4"/>
        <v>660</v>
      </c>
      <c r="H16" s="5">
        <f t="shared" si="5"/>
        <v>660</v>
      </c>
      <c r="I16" s="189">
        <v>6600</v>
      </c>
      <c r="J16" s="185">
        <f t="shared" si="1"/>
        <v>6600</v>
      </c>
      <c r="K16" s="5">
        <f t="shared" si="2"/>
        <v>6600</v>
      </c>
    </row>
    <row r="17" spans="1:11" x14ac:dyDescent="0.2">
      <c r="A17" s="200" t="s">
        <v>584</v>
      </c>
      <c r="B17" s="178" t="s">
        <v>517</v>
      </c>
      <c r="C17" s="6">
        <v>7</v>
      </c>
      <c r="D17" s="6">
        <v>7</v>
      </c>
      <c r="E17" s="6">
        <v>7</v>
      </c>
      <c r="F17" s="5">
        <f t="shared" si="3"/>
        <v>2462.2999999999997</v>
      </c>
      <c r="G17" s="5">
        <f t="shared" si="4"/>
        <v>2462.2999999999997</v>
      </c>
      <c r="H17" s="5">
        <f t="shared" si="5"/>
        <v>2462.2999999999997</v>
      </c>
      <c r="I17" s="189">
        <v>17236.099999999999</v>
      </c>
      <c r="J17" s="185">
        <f t="shared" si="1"/>
        <v>17236.099999999999</v>
      </c>
      <c r="K17" s="5">
        <f t="shared" si="2"/>
        <v>17236.099999999999</v>
      </c>
    </row>
    <row r="18" spans="1:11" x14ac:dyDescent="0.2">
      <c r="A18" s="49" t="s">
        <v>135</v>
      </c>
      <c r="B18" s="48">
        <v>9000</v>
      </c>
      <c r="C18" s="48" t="s">
        <v>12</v>
      </c>
      <c r="D18" s="48" t="s">
        <v>12</v>
      </c>
      <c r="E18" s="48" t="s">
        <v>12</v>
      </c>
      <c r="F18" s="48" t="s">
        <v>12</v>
      </c>
      <c r="G18" s="48" t="s">
        <v>12</v>
      </c>
      <c r="H18" s="48" t="s">
        <v>12</v>
      </c>
      <c r="I18" s="50">
        <f>SUM(I8:I17)</f>
        <v>233210.72</v>
      </c>
      <c r="J18" s="50">
        <f>SUM(J8:J17)</f>
        <v>233210.72</v>
      </c>
      <c r="K18" s="50">
        <f>SUM(K8:K17)</f>
        <v>233210.72</v>
      </c>
    </row>
    <row r="19" spans="1:11" x14ac:dyDescent="0.2">
      <c r="A19" s="52"/>
      <c r="B19" s="53"/>
      <c r="C19" s="53"/>
      <c r="D19" s="53"/>
      <c r="E19" s="53"/>
      <c r="F19" s="53"/>
      <c r="G19" s="53"/>
      <c r="H19" s="53"/>
      <c r="I19" s="54"/>
      <c r="J19" s="54"/>
      <c r="K19" s="54"/>
    </row>
    <row r="20" spans="1:11" x14ac:dyDescent="0.2">
      <c r="A20" s="52"/>
      <c r="B20" s="53"/>
      <c r="C20" s="53"/>
      <c r="D20" s="53"/>
      <c r="E20" s="53"/>
      <c r="F20" s="53"/>
      <c r="G20" s="53"/>
      <c r="H20" s="53"/>
      <c r="I20" s="54"/>
      <c r="J20" s="54"/>
      <c r="K20" s="54"/>
    </row>
    <row r="21" spans="1:11" ht="15.75" x14ac:dyDescent="0.25">
      <c r="A21" s="46" t="s">
        <v>290</v>
      </c>
      <c r="B21" s="46" t="s">
        <v>375</v>
      </c>
      <c r="C21" s="46" t="s">
        <v>376</v>
      </c>
      <c r="D21" s="47">
        <v>621</v>
      </c>
    </row>
    <row r="22" spans="1:11" ht="12.75" customHeight="1" x14ac:dyDescent="0.2">
      <c r="A22" s="241" t="s">
        <v>216</v>
      </c>
      <c r="B22" s="241" t="s">
        <v>1</v>
      </c>
      <c r="C22" s="247" t="s">
        <v>295</v>
      </c>
      <c r="D22" s="247"/>
      <c r="E22" s="247"/>
      <c r="F22" s="247" t="s">
        <v>296</v>
      </c>
      <c r="G22" s="247"/>
      <c r="H22" s="247"/>
      <c r="I22" s="247" t="s">
        <v>115</v>
      </c>
      <c r="J22" s="247"/>
      <c r="K22" s="247"/>
    </row>
    <row r="23" spans="1:11" x14ac:dyDescent="0.2">
      <c r="A23" s="241"/>
      <c r="B23" s="241"/>
      <c r="C23" s="204" t="s">
        <v>418</v>
      </c>
      <c r="D23" s="204" t="s">
        <v>451</v>
      </c>
      <c r="E23" s="204" t="s">
        <v>594</v>
      </c>
      <c r="F23" s="204" t="s">
        <v>418</v>
      </c>
      <c r="G23" s="204" t="s">
        <v>451</v>
      </c>
      <c r="H23" s="204" t="s">
        <v>594</v>
      </c>
      <c r="I23" s="204" t="s">
        <v>418</v>
      </c>
      <c r="J23" s="204" t="s">
        <v>451</v>
      </c>
      <c r="K23" s="204" t="s">
        <v>594</v>
      </c>
    </row>
    <row r="24" spans="1:11" ht="38.25" x14ac:dyDescent="0.2">
      <c r="A24" s="241"/>
      <c r="B24" s="241"/>
      <c r="C24" s="48" t="s">
        <v>75</v>
      </c>
      <c r="D24" s="48" t="s">
        <v>76</v>
      </c>
      <c r="E24" s="48" t="s">
        <v>77</v>
      </c>
      <c r="F24" s="48" t="s">
        <v>75</v>
      </c>
      <c r="G24" s="48" t="s">
        <v>76</v>
      </c>
      <c r="H24" s="48" t="s">
        <v>77</v>
      </c>
      <c r="I24" s="48" t="s">
        <v>75</v>
      </c>
      <c r="J24" s="48" t="s">
        <v>76</v>
      </c>
      <c r="K24" s="48" t="s">
        <v>77</v>
      </c>
    </row>
    <row r="25" spans="1:11" x14ac:dyDescent="0.2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</row>
    <row r="26" spans="1:11" x14ac:dyDescent="0.2">
      <c r="A26" s="139" t="s">
        <v>321</v>
      </c>
      <c r="B26" s="178" t="s">
        <v>486</v>
      </c>
      <c r="C26" s="27">
        <v>20</v>
      </c>
      <c r="D26" s="2">
        <v>20</v>
      </c>
      <c r="E26" s="2">
        <v>20</v>
      </c>
      <c r="F26" s="27">
        <f>I26/C26</f>
        <v>83875</v>
      </c>
      <c r="G26" s="27">
        <f t="shared" ref="G26:H26" si="6">J26/D26</f>
        <v>83875</v>
      </c>
      <c r="H26" s="27">
        <f t="shared" si="6"/>
        <v>83875</v>
      </c>
      <c r="I26" s="5">
        <v>1677500</v>
      </c>
      <c r="J26" s="7">
        <v>1677500</v>
      </c>
      <c r="K26" s="7">
        <f>J26</f>
        <v>1677500</v>
      </c>
    </row>
    <row r="27" spans="1:11" x14ac:dyDescent="0.2">
      <c r="A27" s="49" t="s">
        <v>135</v>
      </c>
      <c r="B27" s="48">
        <v>9000</v>
      </c>
      <c r="C27" s="48" t="s">
        <v>12</v>
      </c>
      <c r="D27" s="48" t="s">
        <v>12</v>
      </c>
      <c r="E27" s="48" t="s">
        <v>12</v>
      </c>
      <c r="F27" s="48" t="s">
        <v>12</v>
      </c>
      <c r="G27" s="48" t="s">
        <v>12</v>
      </c>
      <c r="H27" s="48" t="s">
        <v>12</v>
      </c>
      <c r="I27" s="50">
        <f>SUM(I26:I26)</f>
        <v>1677500</v>
      </c>
      <c r="J27" s="50">
        <f t="shared" ref="J27:K27" si="7">SUM(J26:J26)</f>
        <v>1677500</v>
      </c>
      <c r="K27" s="50">
        <f t="shared" si="7"/>
        <v>1677500</v>
      </c>
    </row>
    <row r="28" spans="1:11" x14ac:dyDescent="0.2">
      <c r="A28" s="52"/>
      <c r="B28" s="53"/>
      <c r="C28" s="53"/>
      <c r="D28" s="53"/>
      <c r="E28" s="53"/>
      <c r="F28" s="53"/>
      <c r="G28" s="53"/>
      <c r="H28" s="53"/>
      <c r="I28" s="54"/>
      <c r="J28" s="54"/>
      <c r="K28" s="54"/>
    </row>
    <row r="29" spans="1:11" x14ac:dyDescent="0.2">
      <c r="A29" s="52"/>
      <c r="B29" s="53"/>
      <c r="C29" s="53"/>
      <c r="D29" s="53"/>
      <c r="E29" s="53"/>
      <c r="F29" s="53"/>
      <c r="G29" s="53"/>
      <c r="H29" s="53"/>
      <c r="I29" s="54"/>
      <c r="J29" s="54"/>
      <c r="K29" s="54"/>
    </row>
    <row r="30" spans="1:11" ht="15.75" x14ac:dyDescent="0.25">
      <c r="A30" s="46" t="s">
        <v>378</v>
      </c>
      <c r="B30" s="46" t="s">
        <v>375</v>
      </c>
      <c r="C30" s="46" t="s">
        <v>379</v>
      </c>
      <c r="D30" s="47">
        <v>621</v>
      </c>
    </row>
    <row r="31" spans="1:11" ht="12.75" customHeight="1" x14ac:dyDescent="0.2">
      <c r="A31" s="241" t="s">
        <v>216</v>
      </c>
      <c r="B31" s="241" t="s">
        <v>1</v>
      </c>
      <c r="C31" s="247" t="s">
        <v>295</v>
      </c>
      <c r="D31" s="247"/>
      <c r="E31" s="247"/>
      <c r="F31" s="247" t="s">
        <v>296</v>
      </c>
      <c r="G31" s="247"/>
      <c r="H31" s="247"/>
      <c r="I31" s="247" t="s">
        <v>115</v>
      </c>
      <c r="J31" s="247"/>
      <c r="K31" s="247"/>
    </row>
    <row r="32" spans="1:11" x14ac:dyDescent="0.2">
      <c r="A32" s="241"/>
      <c r="B32" s="241"/>
      <c r="C32" s="204" t="s">
        <v>418</v>
      </c>
      <c r="D32" s="204" t="s">
        <v>451</v>
      </c>
      <c r="E32" s="204" t="s">
        <v>594</v>
      </c>
      <c r="F32" s="204" t="s">
        <v>418</v>
      </c>
      <c r="G32" s="204" t="s">
        <v>451</v>
      </c>
      <c r="H32" s="204" t="s">
        <v>594</v>
      </c>
      <c r="I32" s="204" t="s">
        <v>418</v>
      </c>
      <c r="J32" s="204" t="s">
        <v>451</v>
      </c>
      <c r="K32" s="204" t="s">
        <v>594</v>
      </c>
    </row>
    <row r="33" spans="1:11" ht="38.25" x14ac:dyDescent="0.2">
      <c r="A33" s="241"/>
      <c r="B33" s="241"/>
      <c r="C33" s="48" t="s">
        <v>75</v>
      </c>
      <c r="D33" s="48" t="s">
        <v>76</v>
      </c>
      <c r="E33" s="48" t="s">
        <v>77</v>
      </c>
      <c r="F33" s="48" t="s">
        <v>75</v>
      </c>
      <c r="G33" s="48" t="s">
        <v>76</v>
      </c>
      <c r="H33" s="48" t="s">
        <v>77</v>
      </c>
      <c r="I33" s="48" t="s">
        <v>75</v>
      </c>
      <c r="J33" s="48" t="s">
        <v>76</v>
      </c>
      <c r="K33" s="48" t="s">
        <v>77</v>
      </c>
    </row>
    <row r="34" spans="1:11" x14ac:dyDescent="0.2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  <c r="G34" s="2">
        <v>7</v>
      </c>
      <c r="H34" s="2">
        <v>8</v>
      </c>
      <c r="I34" s="2">
        <v>9</v>
      </c>
      <c r="J34" s="2">
        <v>10</v>
      </c>
      <c r="K34" s="2">
        <v>11</v>
      </c>
    </row>
    <row r="35" spans="1:11" ht="30" x14ac:dyDescent="0.25">
      <c r="A35" s="201" t="s">
        <v>587</v>
      </c>
      <c r="B35" s="178" t="s">
        <v>486</v>
      </c>
      <c r="C35" s="6">
        <v>100</v>
      </c>
      <c r="D35" s="6">
        <v>100</v>
      </c>
      <c r="E35" s="6">
        <v>100</v>
      </c>
      <c r="F35" s="5">
        <f>I35/C35</f>
        <v>144.41999999999999</v>
      </c>
      <c r="G35" s="5">
        <v>180</v>
      </c>
      <c r="H35" s="5">
        <v>180</v>
      </c>
      <c r="I35" s="198">
        <v>14442</v>
      </c>
      <c r="J35" s="5">
        <f>I35</f>
        <v>14442</v>
      </c>
      <c r="K35" s="5">
        <f>J35</f>
        <v>14442</v>
      </c>
    </row>
    <row r="36" spans="1:11" ht="15" x14ac:dyDescent="0.25">
      <c r="A36" s="201" t="s">
        <v>588</v>
      </c>
      <c r="B36" s="178" t="s">
        <v>487</v>
      </c>
      <c r="C36" s="6">
        <v>20</v>
      </c>
      <c r="D36" s="6">
        <v>10</v>
      </c>
      <c r="E36" s="6">
        <v>10</v>
      </c>
      <c r="F36" s="5">
        <f>I36/C36</f>
        <v>400</v>
      </c>
      <c r="G36" s="5">
        <v>800</v>
      </c>
      <c r="H36" s="5">
        <v>800</v>
      </c>
      <c r="I36" s="198">
        <v>8000</v>
      </c>
      <c r="J36" s="185">
        <f t="shared" ref="J36:J38" si="8">I36</f>
        <v>8000</v>
      </c>
      <c r="K36" s="5">
        <f t="shared" ref="K36:K38" si="9">J36</f>
        <v>8000</v>
      </c>
    </row>
    <row r="37" spans="1:11" ht="15" x14ac:dyDescent="0.25">
      <c r="A37" s="201" t="s">
        <v>585</v>
      </c>
      <c r="B37" s="178" t="s">
        <v>488</v>
      </c>
      <c r="C37" s="6">
        <v>10</v>
      </c>
      <c r="D37" s="6">
        <v>200</v>
      </c>
      <c r="E37" s="6">
        <v>200</v>
      </c>
      <c r="F37" s="5">
        <f>I37/C37</f>
        <v>709.8</v>
      </c>
      <c r="G37" s="5">
        <v>121.2</v>
      </c>
      <c r="H37" s="5">
        <v>121.2</v>
      </c>
      <c r="I37" s="198">
        <v>7098</v>
      </c>
      <c r="J37" s="185">
        <f t="shared" si="8"/>
        <v>7098</v>
      </c>
      <c r="K37" s="5">
        <f t="shared" si="9"/>
        <v>7098</v>
      </c>
    </row>
    <row r="38" spans="1:11" ht="15" x14ac:dyDescent="0.25">
      <c r="A38" s="202" t="s">
        <v>586</v>
      </c>
      <c r="B38" s="178" t="s">
        <v>511</v>
      </c>
      <c r="C38" s="6">
        <v>4</v>
      </c>
      <c r="D38" s="6">
        <v>10</v>
      </c>
      <c r="E38" s="6">
        <v>10</v>
      </c>
      <c r="F38" s="5">
        <f>I38/C38</f>
        <v>1812.5</v>
      </c>
      <c r="G38" s="5">
        <f t="shared" ref="G38:H38" si="10">J38/D38</f>
        <v>725</v>
      </c>
      <c r="H38" s="5">
        <f t="shared" si="10"/>
        <v>725</v>
      </c>
      <c r="I38" s="198">
        <v>7250</v>
      </c>
      <c r="J38" s="185">
        <f t="shared" si="8"/>
        <v>7250</v>
      </c>
      <c r="K38" s="5">
        <f t="shared" si="9"/>
        <v>7250</v>
      </c>
    </row>
    <row r="39" spans="1:11" x14ac:dyDescent="0.2">
      <c r="A39" s="49" t="s">
        <v>135</v>
      </c>
      <c r="B39" s="48">
        <v>9000</v>
      </c>
      <c r="C39" s="48" t="s">
        <v>12</v>
      </c>
      <c r="D39" s="48" t="s">
        <v>12</v>
      </c>
      <c r="E39" s="48" t="s">
        <v>12</v>
      </c>
      <c r="F39" s="48" t="s">
        <v>12</v>
      </c>
      <c r="G39" s="48" t="s">
        <v>12</v>
      </c>
      <c r="H39" s="48" t="s">
        <v>12</v>
      </c>
      <c r="I39" s="50">
        <f>SUM(I35:I38)</f>
        <v>36790</v>
      </c>
      <c r="J39" s="50">
        <f>SUM(J35:J38)</f>
        <v>36790</v>
      </c>
      <c r="K39" s="50">
        <f>SUM(K35:K38)</f>
        <v>36790</v>
      </c>
    </row>
    <row r="41" spans="1:11" hidden="1" x14ac:dyDescent="0.2"/>
    <row r="42" spans="1:11" ht="15.75" hidden="1" x14ac:dyDescent="0.25">
      <c r="A42" s="46" t="s">
        <v>388</v>
      </c>
      <c r="B42" s="46" t="s">
        <v>375</v>
      </c>
      <c r="C42" s="46" t="s">
        <v>380</v>
      </c>
      <c r="D42" s="47">
        <v>621</v>
      </c>
    </row>
    <row r="43" spans="1:11" ht="12.75" hidden="1" customHeight="1" x14ac:dyDescent="0.2">
      <c r="A43" s="241" t="s">
        <v>216</v>
      </c>
      <c r="B43" s="241" t="s">
        <v>1</v>
      </c>
      <c r="C43" s="247" t="s">
        <v>295</v>
      </c>
      <c r="D43" s="247"/>
      <c r="E43" s="247"/>
      <c r="F43" s="247" t="s">
        <v>296</v>
      </c>
      <c r="G43" s="247"/>
      <c r="H43" s="247"/>
      <c r="I43" s="247" t="s">
        <v>115</v>
      </c>
      <c r="J43" s="247"/>
      <c r="K43" s="247"/>
    </row>
    <row r="44" spans="1:11" hidden="1" x14ac:dyDescent="0.2">
      <c r="A44" s="241"/>
      <c r="B44" s="241"/>
      <c r="C44" s="48" t="s">
        <v>409</v>
      </c>
      <c r="D44" s="48" t="s">
        <v>418</v>
      </c>
      <c r="E44" s="48" t="s">
        <v>453</v>
      </c>
      <c r="F44" s="48" t="s">
        <v>409</v>
      </c>
      <c r="G44" s="48" t="s">
        <v>418</v>
      </c>
      <c r="H44" s="48" t="s">
        <v>453</v>
      </c>
      <c r="I44" s="48" t="s">
        <v>409</v>
      </c>
      <c r="J44" s="48" t="s">
        <v>418</v>
      </c>
      <c r="K44" s="48" t="s">
        <v>453</v>
      </c>
    </row>
    <row r="45" spans="1:11" ht="38.25" hidden="1" x14ac:dyDescent="0.2">
      <c r="A45" s="241"/>
      <c r="B45" s="241"/>
      <c r="C45" s="48" t="s">
        <v>75</v>
      </c>
      <c r="D45" s="48" t="s">
        <v>76</v>
      </c>
      <c r="E45" s="48" t="s">
        <v>77</v>
      </c>
      <c r="F45" s="48" t="s">
        <v>75</v>
      </c>
      <c r="G45" s="48" t="s">
        <v>76</v>
      </c>
      <c r="H45" s="48" t="s">
        <v>77</v>
      </c>
      <c r="I45" s="48" t="s">
        <v>75</v>
      </c>
      <c r="J45" s="48" t="s">
        <v>76</v>
      </c>
      <c r="K45" s="48" t="s">
        <v>77</v>
      </c>
    </row>
    <row r="46" spans="1:11" hidden="1" x14ac:dyDescent="0.2">
      <c r="A46" s="2">
        <v>1</v>
      </c>
      <c r="B46" s="2">
        <v>2</v>
      </c>
      <c r="C46" s="2">
        <v>3</v>
      </c>
      <c r="D46" s="2">
        <v>4</v>
      </c>
      <c r="E46" s="2">
        <v>5</v>
      </c>
      <c r="F46" s="2">
        <v>6</v>
      </c>
      <c r="G46" s="2">
        <v>7</v>
      </c>
      <c r="H46" s="2">
        <v>8</v>
      </c>
      <c r="I46" s="2">
        <v>9</v>
      </c>
      <c r="J46" s="2">
        <v>10</v>
      </c>
      <c r="K46" s="2">
        <v>11</v>
      </c>
    </row>
    <row r="47" spans="1:11" hidden="1" x14ac:dyDescent="0.2">
      <c r="A47" s="6" t="s">
        <v>318</v>
      </c>
      <c r="B47" s="2">
        <v>3</v>
      </c>
      <c r="C47" s="6">
        <v>15</v>
      </c>
      <c r="D47" s="6">
        <v>10</v>
      </c>
      <c r="E47" s="6">
        <v>10</v>
      </c>
      <c r="F47" s="5">
        <f>I47/C47</f>
        <v>0</v>
      </c>
      <c r="G47" s="5">
        <v>874.5</v>
      </c>
      <c r="H47" s="5">
        <v>874.5</v>
      </c>
      <c r="I47" s="5"/>
      <c r="J47" s="5"/>
      <c r="K47" s="5">
        <f t="shared" ref="K47" si="11">J47</f>
        <v>0</v>
      </c>
    </row>
    <row r="48" spans="1:11" hidden="1" x14ac:dyDescent="0.2">
      <c r="A48" s="49" t="s">
        <v>135</v>
      </c>
      <c r="B48" s="48">
        <v>9000</v>
      </c>
      <c r="C48" s="48" t="s">
        <v>12</v>
      </c>
      <c r="D48" s="48" t="s">
        <v>12</v>
      </c>
      <c r="E48" s="48" t="s">
        <v>12</v>
      </c>
      <c r="F48" s="48" t="s">
        <v>12</v>
      </c>
      <c r="G48" s="48" t="s">
        <v>12</v>
      </c>
      <c r="H48" s="48" t="s">
        <v>12</v>
      </c>
      <c r="I48" s="50">
        <f>SUM(I47:I47)</f>
        <v>0</v>
      </c>
      <c r="J48" s="50">
        <f>SUM(J47:J47)</f>
        <v>0</v>
      </c>
      <c r="K48" s="50">
        <f>SUM(K47:K47)</f>
        <v>0</v>
      </c>
    </row>
    <row r="49" spans="1:16" hidden="1" x14ac:dyDescent="0.2">
      <c r="A49" s="52"/>
      <c r="B49" s="53"/>
      <c r="C49" s="53"/>
      <c r="D49" s="53"/>
      <c r="E49" s="53"/>
      <c r="F49" s="53"/>
      <c r="G49" s="53"/>
      <c r="H49" s="53"/>
      <c r="I49" s="54"/>
      <c r="J49" s="54"/>
      <c r="K49" s="54"/>
    </row>
    <row r="50" spans="1:16" hidden="1" x14ac:dyDescent="0.2"/>
    <row r="51" spans="1:16" ht="15.75" hidden="1" x14ac:dyDescent="0.25">
      <c r="A51" s="46" t="s">
        <v>385</v>
      </c>
      <c r="B51" s="46" t="s">
        <v>375</v>
      </c>
      <c r="C51" s="46" t="s">
        <v>384</v>
      </c>
    </row>
    <row r="52" spans="1:16" ht="12.75" hidden="1" customHeight="1" x14ac:dyDescent="0.2">
      <c r="A52" s="241" t="s">
        <v>216</v>
      </c>
      <c r="B52" s="241" t="s">
        <v>1</v>
      </c>
      <c r="C52" s="247" t="s">
        <v>295</v>
      </c>
      <c r="D52" s="247"/>
      <c r="E52" s="247"/>
      <c r="F52" s="247" t="s">
        <v>296</v>
      </c>
      <c r="G52" s="247"/>
      <c r="H52" s="247"/>
      <c r="I52" s="247" t="s">
        <v>115</v>
      </c>
      <c r="J52" s="247"/>
      <c r="K52" s="247"/>
    </row>
    <row r="53" spans="1:16" hidden="1" x14ac:dyDescent="0.2">
      <c r="A53" s="241"/>
      <c r="B53" s="241"/>
      <c r="C53" s="204" t="s">
        <v>418</v>
      </c>
      <c r="D53" s="204" t="s">
        <v>451</v>
      </c>
      <c r="E53" s="204" t="s">
        <v>594</v>
      </c>
      <c r="F53" s="204" t="s">
        <v>418</v>
      </c>
      <c r="G53" s="204" t="s">
        <v>451</v>
      </c>
      <c r="H53" s="204" t="s">
        <v>594</v>
      </c>
      <c r="I53" s="204" t="s">
        <v>418</v>
      </c>
      <c r="J53" s="204" t="s">
        <v>451</v>
      </c>
      <c r="K53" s="204" t="s">
        <v>594</v>
      </c>
    </row>
    <row r="54" spans="1:16" ht="38.25" hidden="1" x14ac:dyDescent="0.2">
      <c r="A54" s="241"/>
      <c r="B54" s="241"/>
      <c r="C54" s="48" t="s">
        <v>75</v>
      </c>
      <c r="D54" s="48" t="s">
        <v>76</v>
      </c>
      <c r="E54" s="48" t="s">
        <v>77</v>
      </c>
      <c r="F54" s="48" t="s">
        <v>75</v>
      </c>
      <c r="G54" s="48" t="s">
        <v>76</v>
      </c>
      <c r="H54" s="48" t="s">
        <v>77</v>
      </c>
      <c r="I54" s="48" t="s">
        <v>75</v>
      </c>
      <c r="J54" s="48" t="s">
        <v>76</v>
      </c>
      <c r="K54" s="48" t="s">
        <v>77</v>
      </c>
    </row>
    <row r="55" spans="1:16" hidden="1" x14ac:dyDescent="0.2">
      <c r="A55" s="2">
        <v>1</v>
      </c>
      <c r="B55" s="2">
        <v>2</v>
      </c>
      <c r="C55" s="2">
        <v>3</v>
      </c>
      <c r="D55" s="2">
        <v>4</v>
      </c>
      <c r="E55" s="2">
        <v>5</v>
      </c>
      <c r="F55" s="2">
        <v>6</v>
      </c>
      <c r="G55" s="2">
        <v>7</v>
      </c>
      <c r="H55" s="2">
        <v>8</v>
      </c>
      <c r="I55" s="2">
        <v>9</v>
      </c>
      <c r="J55" s="2">
        <v>10</v>
      </c>
      <c r="K55" s="2">
        <v>11</v>
      </c>
    </row>
    <row r="56" spans="1:16" hidden="1" x14ac:dyDescent="0.2">
      <c r="A56" s="6" t="s">
        <v>327</v>
      </c>
      <c r="B56" s="178" t="s">
        <v>486</v>
      </c>
      <c r="C56" s="6"/>
      <c r="D56" s="6"/>
      <c r="E56" s="6"/>
      <c r="F56" s="5" t="e">
        <f>I56/C56</f>
        <v>#DIV/0!</v>
      </c>
      <c r="G56" s="5" t="e">
        <f t="shared" ref="G56:H56" si="12">J56/D56</f>
        <v>#DIV/0!</v>
      </c>
      <c r="H56" s="5" t="e">
        <f t="shared" si="12"/>
        <v>#DIV/0!</v>
      </c>
      <c r="I56" s="5"/>
      <c r="J56" s="5"/>
      <c r="K56" s="5">
        <f>J56</f>
        <v>0</v>
      </c>
      <c r="O56" s="3">
        <v>98672.25</v>
      </c>
      <c r="P56" s="3" t="s">
        <v>465</v>
      </c>
    </row>
    <row r="57" spans="1:16" hidden="1" x14ac:dyDescent="0.2">
      <c r="A57" s="49" t="s">
        <v>135</v>
      </c>
      <c r="B57" s="48">
        <v>9000</v>
      </c>
      <c r="C57" s="48" t="s">
        <v>12</v>
      </c>
      <c r="D57" s="48" t="s">
        <v>12</v>
      </c>
      <c r="E57" s="48" t="s">
        <v>12</v>
      </c>
      <c r="F57" s="48" t="s">
        <v>12</v>
      </c>
      <c r="G57" s="48" t="s">
        <v>12</v>
      </c>
      <c r="H57" s="48" t="s">
        <v>12</v>
      </c>
      <c r="I57" s="50">
        <f>SUM(I56:I56)</f>
        <v>0</v>
      </c>
      <c r="J57" s="50">
        <f>SUM(J56:J56)</f>
        <v>0</v>
      </c>
      <c r="K57" s="50">
        <f>SUM(K56:K56)</f>
        <v>0</v>
      </c>
    </row>
    <row r="58" spans="1:16" hidden="1" x14ac:dyDescent="0.2">
      <c r="A58" s="52"/>
      <c r="B58" s="53"/>
      <c r="C58" s="53"/>
      <c r="D58" s="53"/>
      <c r="E58" s="53"/>
      <c r="F58" s="53"/>
      <c r="G58" s="53"/>
      <c r="H58" s="53"/>
      <c r="I58" s="54"/>
      <c r="J58" s="54"/>
      <c r="K58" s="54"/>
    </row>
    <row r="59" spans="1:16" x14ac:dyDescent="0.2">
      <c r="A59" s="52"/>
      <c r="B59" s="53"/>
      <c r="C59" s="53"/>
      <c r="D59" s="53"/>
      <c r="E59" s="53"/>
      <c r="F59" s="53"/>
      <c r="G59" s="53"/>
      <c r="H59" s="53"/>
      <c r="I59" s="54"/>
      <c r="J59" s="54"/>
      <c r="K59" s="54"/>
    </row>
    <row r="60" spans="1:16" ht="15.75" x14ac:dyDescent="0.25">
      <c r="A60" s="46" t="s">
        <v>393</v>
      </c>
      <c r="B60" s="46" t="s">
        <v>375</v>
      </c>
      <c r="C60" s="46" t="s">
        <v>389</v>
      </c>
    </row>
    <row r="61" spans="1:16" ht="12.75" customHeight="1" x14ac:dyDescent="0.2">
      <c r="A61" s="241" t="s">
        <v>216</v>
      </c>
      <c r="B61" s="241" t="s">
        <v>1</v>
      </c>
      <c r="C61" s="247" t="s">
        <v>295</v>
      </c>
      <c r="D61" s="247"/>
      <c r="E61" s="247"/>
      <c r="F61" s="247" t="s">
        <v>296</v>
      </c>
      <c r="G61" s="247"/>
      <c r="H61" s="247"/>
      <c r="I61" s="247" t="s">
        <v>115</v>
      </c>
      <c r="J61" s="247"/>
      <c r="K61" s="247"/>
    </row>
    <row r="62" spans="1:16" x14ac:dyDescent="0.2">
      <c r="A62" s="241"/>
      <c r="B62" s="241"/>
      <c r="C62" s="204" t="s">
        <v>418</v>
      </c>
      <c r="D62" s="204" t="s">
        <v>451</v>
      </c>
      <c r="E62" s="204" t="s">
        <v>594</v>
      </c>
      <c r="F62" s="204" t="s">
        <v>418</v>
      </c>
      <c r="G62" s="204" t="s">
        <v>451</v>
      </c>
      <c r="H62" s="204" t="s">
        <v>594</v>
      </c>
      <c r="I62" s="204" t="s">
        <v>418</v>
      </c>
      <c r="J62" s="204" t="s">
        <v>451</v>
      </c>
      <c r="K62" s="204" t="s">
        <v>594</v>
      </c>
    </row>
    <row r="63" spans="1:16" ht="38.25" x14ac:dyDescent="0.2">
      <c r="A63" s="241"/>
      <c r="B63" s="241"/>
      <c r="C63" s="48" t="s">
        <v>75</v>
      </c>
      <c r="D63" s="48" t="s">
        <v>76</v>
      </c>
      <c r="E63" s="48" t="s">
        <v>77</v>
      </c>
      <c r="F63" s="48" t="s">
        <v>75</v>
      </c>
      <c r="G63" s="48" t="s">
        <v>76</v>
      </c>
      <c r="H63" s="48" t="s">
        <v>77</v>
      </c>
      <c r="I63" s="48" t="s">
        <v>75</v>
      </c>
      <c r="J63" s="48" t="s">
        <v>76</v>
      </c>
      <c r="K63" s="48" t="s">
        <v>77</v>
      </c>
    </row>
    <row r="64" spans="1:16" x14ac:dyDescent="0.2">
      <c r="A64" s="2">
        <v>1</v>
      </c>
      <c r="B64" s="2">
        <v>2</v>
      </c>
      <c r="C64" s="2">
        <v>3</v>
      </c>
      <c r="D64" s="2">
        <v>4</v>
      </c>
      <c r="E64" s="2">
        <v>5</v>
      </c>
      <c r="F64" s="2">
        <v>6</v>
      </c>
      <c r="G64" s="2">
        <v>7</v>
      </c>
      <c r="H64" s="2">
        <v>8</v>
      </c>
      <c r="I64" s="2">
        <v>9</v>
      </c>
      <c r="J64" s="2">
        <v>10</v>
      </c>
      <c r="K64" s="2">
        <v>11</v>
      </c>
    </row>
    <row r="65" spans="1:11" x14ac:dyDescent="0.2">
      <c r="A65" s="2" t="s">
        <v>321</v>
      </c>
      <c r="B65" s="178" t="s">
        <v>486</v>
      </c>
      <c r="C65" s="27">
        <v>20</v>
      </c>
      <c r="D65" s="27">
        <v>20</v>
      </c>
      <c r="E65" s="27">
        <v>20</v>
      </c>
      <c r="F65" s="78">
        <f>I65/C65</f>
        <v>98075</v>
      </c>
      <c r="G65" s="78">
        <f t="shared" ref="G65:H65" si="13">J65/D65</f>
        <v>98075</v>
      </c>
      <c r="H65" s="78">
        <f t="shared" si="13"/>
        <v>98075</v>
      </c>
      <c r="I65" s="5">
        <v>1961500</v>
      </c>
      <c r="J65" s="7">
        <v>1961500</v>
      </c>
      <c r="K65" s="7">
        <f>J65</f>
        <v>1961500</v>
      </c>
    </row>
    <row r="66" spans="1:11" x14ac:dyDescent="0.2">
      <c r="A66" s="49" t="s">
        <v>135</v>
      </c>
      <c r="B66" s="48">
        <v>9000</v>
      </c>
      <c r="C66" s="48" t="s">
        <v>12</v>
      </c>
      <c r="D66" s="48" t="s">
        <v>12</v>
      </c>
      <c r="E66" s="48" t="s">
        <v>12</v>
      </c>
      <c r="F66" s="48" t="s">
        <v>12</v>
      </c>
      <c r="G66" s="48" t="s">
        <v>12</v>
      </c>
      <c r="H66" s="48" t="s">
        <v>12</v>
      </c>
      <c r="I66" s="50">
        <f>SUM(I65:I65)</f>
        <v>1961500</v>
      </c>
      <c r="J66" s="50">
        <f>SUM(J65:J65)</f>
        <v>1961500</v>
      </c>
      <c r="K66" s="50">
        <f>SUM(K65:K65)</f>
        <v>1961500</v>
      </c>
    </row>
    <row r="69" spans="1:11" ht="15.75" x14ac:dyDescent="0.25">
      <c r="A69" s="46" t="s">
        <v>390</v>
      </c>
      <c r="B69" s="47">
        <v>1003</v>
      </c>
      <c r="C69" s="46" t="s">
        <v>391</v>
      </c>
      <c r="D69" s="47">
        <v>622</v>
      </c>
    </row>
    <row r="70" spans="1:11" ht="12.75" customHeight="1" x14ac:dyDescent="0.2">
      <c r="A70" s="241" t="s">
        <v>216</v>
      </c>
      <c r="B70" s="241" t="s">
        <v>1</v>
      </c>
      <c r="C70" s="247" t="s">
        <v>295</v>
      </c>
      <c r="D70" s="247"/>
      <c r="E70" s="247"/>
      <c r="F70" s="247" t="s">
        <v>296</v>
      </c>
      <c r="G70" s="247"/>
      <c r="H70" s="247"/>
      <c r="I70" s="247" t="s">
        <v>115</v>
      </c>
      <c r="J70" s="247"/>
      <c r="K70" s="247"/>
    </row>
    <row r="71" spans="1:11" x14ac:dyDescent="0.2">
      <c r="A71" s="241"/>
      <c r="B71" s="241"/>
      <c r="C71" s="204" t="s">
        <v>418</v>
      </c>
      <c r="D71" s="204" t="s">
        <v>451</v>
      </c>
      <c r="E71" s="204" t="s">
        <v>594</v>
      </c>
      <c r="F71" s="204" t="s">
        <v>418</v>
      </c>
      <c r="G71" s="204" t="s">
        <v>451</v>
      </c>
      <c r="H71" s="204" t="s">
        <v>594</v>
      </c>
      <c r="I71" s="204" t="s">
        <v>418</v>
      </c>
      <c r="J71" s="204" t="s">
        <v>451</v>
      </c>
      <c r="K71" s="204" t="s">
        <v>594</v>
      </c>
    </row>
    <row r="72" spans="1:11" ht="38.25" x14ac:dyDescent="0.2">
      <c r="A72" s="241"/>
      <c r="B72" s="241"/>
      <c r="C72" s="48" t="s">
        <v>75</v>
      </c>
      <c r="D72" s="48" t="s">
        <v>76</v>
      </c>
      <c r="E72" s="48" t="s">
        <v>77</v>
      </c>
      <c r="F72" s="48" t="s">
        <v>75</v>
      </c>
      <c r="G72" s="48" t="s">
        <v>76</v>
      </c>
      <c r="H72" s="48" t="s">
        <v>77</v>
      </c>
      <c r="I72" s="48" t="s">
        <v>75</v>
      </c>
      <c r="J72" s="48" t="s">
        <v>76</v>
      </c>
      <c r="K72" s="48" t="s">
        <v>77</v>
      </c>
    </row>
    <row r="73" spans="1:11" x14ac:dyDescent="0.2">
      <c r="A73" s="2">
        <v>1</v>
      </c>
      <c r="B73" s="2">
        <v>2</v>
      </c>
      <c r="C73" s="2">
        <v>3</v>
      </c>
      <c r="D73" s="2">
        <v>4</v>
      </c>
      <c r="E73" s="2">
        <v>5</v>
      </c>
      <c r="F73" s="2">
        <v>6</v>
      </c>
      <c r="G73" s="2">
        <v>7</v>
      </c>
      <c r="H73" s="2">
        <v>8</v>
      </c>
      <c r="I73" s="2">
        <v>9</v>
      </c>
      <c r="J73" s="2">
        <v>10</v>
      </c>
      <c r="K73" s="2">
        <v>11</v>
      </c>
    </row>
    <row r="74" spans="1:11" x14ac:dyDescent="0.2">
      <c r="A74" s="2" t="s">
        <v>321</v>
      </c>
      <c r="B74" s="178" t="s">
        <v>486</v>
      </c>
      <c r="C74" s="27">
        <v>4</v>
      </c>
      <c r="D74" s="2">
        <v>4</v>
      </c>
      <c r="E74" s="2">
        <v>4</v>
      </c>
      <c r="F74" s="78">
        <f>I74/C74</f>
        <v>58050</v>
      </c>
      <c r="G74" s="78">
        <f t="shared" ref="G74:H74" si="14">J74/D74</f>
        <v>58050</v>
      </c>
      <c r="H74" s="78">
        <f t="shared" si="14"/>
        <v>58050</v>
      </c>
      <c r="I74" s="5">
        <v>232200</v>
      </c>
      <c r="J74" s="7">
        <f>I74</f>
        <v>232200</v>
      </c>
      <c r="K74" s="7">
        <f>J74</f>
        <v>232200</v>
      </c>
    </row>
    <row r="75" spans="1:11" x14ac:dyDescent="0.2">
      <c r="A75" s="49" t="s">
        <v>135</v>
      </c>
      <c r="B75" s="48">
        <v>9000</v>
      </c>
      <c r="C75" s="48" t="s">
        <v>12</v>
      </c>
      <c r="D75" s="48" t="s">
        <v>12</v>
      </c>
      <c r="E75" s="48" t="s">
        <v>12</v>
      </c>
      <c r="F75" s="48" t="s">
        <v>12</v>
      </c>
      <c r="G75" s="48" t="s">
        <v>12</v>
      </c>
      <c r="H75" s="48" t="s">
        <v>12</v>
      </c>
      <c r="I75" s="50">
        <f>SUM(I74:I74)</f>
        <v>232200</v>
      </c>
      <c r="J75" s="50">
        <f>SUM(J74:J74)</f>
        <v>232200</v>
      </c>
      <c r="K75" s="50">
        <f>SUM(K74:K74)</f>
        <v>232200</v>
      </c>
    </row>
    <row r="78" spans="1:11" ht="15.75" x14ac:dyDescent="0.25">
      <c r="A78" s="46" t="s">
        <v>392</v>
      </c>
      <c r="B78" s="46" t="s">
        <v>375</v>
      </c>
      <c r="C78" s="46" t="s">
        <v>389</v>
      </c>
    </row>
    <row r="79" spans="1:11" ht="12.75" customHeight="1" x14ac:dyDescent="0.2">
      <c r="A79" s="241" t="s">
        <v>216</v>
      </c>
      <c r="B79" s="241" t="s">
        <v>1</v>
      </c>
      <c r="C79" s="247" t="s">
        <v>295</v>
      </c>
      <c r="D79" s="247"/>
      <c r="E79" s="247"/>
      <c r="F79" s="247" t="s">
        <v>296</v>
      </c>
      <c r="G79" s="247"/>
      <c r="H79" s="247"/>
      <c r="I79" s="247" t="s">
        <v>115</v>
      </c>
      <c r="J79" s="247"/>
      <c r="K79" s="247"/>
    </row>
    <row r="80" spans="1:11" x14ac:dyDescent="0.2">
      <c r="A80" s="241"/>
      <c r="B80" s="241"/>
      <c r="C80" s="204" t="s">
        <v>418</v>
      </c>
      <c r="D80" s="204" t="s">
        <v>451</v>
      </c>
      <c r="E80" s="204" t="s">
        <v>594</v>
      </c>
      <c r="F80" s="204" t="s">
        <v>418</v>
      </c>
      <c r="G80" s="204" t="s">
        <v>451</v>
      </c>
      <c r="H80" s="204" t="s">
        <v>594</v>
      </c>
      <c r="I80" s="204" t="s">
        <v>418</v>
      </c>
      <c r="J80" s="204" t="s">
        <v>451</v>
      </c>
      <c r="K80" s="204" t="s">
        <v>594</v>
      </c>
    </row>
    <row r="81" spans="1:11" ht="38.25" x14ac:dyDescent="0.2">
      <c r="A81" s="241"/>
      <c r="B81" s="241"/>
      <c r="C81" s="48" t="s">
        <v>75</v>
      </c>
      <c r="D81" s="48" t="s">
        <v>76</v>
      </c>
      <c r="E81" s="48" t="s">
        <v>77</v>
      </c>
      <c r="F81" s="48" t="s">
        <v>75</v>
      </c>
      <c r="G81" s="48" t="s">
        <v>76</v>
      </c>
      <c r="H81" s="48" t="s">
        <v>77</v>
      </c>
      <c r="I81" s="48" t="s">
        <v>75</v>
      </c>
      <c r="J81" s="48" t="s">
        <v>76</v>
      </c>
      <c r="K81" s="48" t="s">
        <v>77</v>
      </c>
    </row>
    <row r="82" spans="1:11" x14ac:dyDescent="0.2">
      <c r="A82" s="2">
        <v>1</v>
      </c>
      <c r="B82" s="2">
        <v>2</v>
      </c>
      <c r="C82" s="2">
        <v>3</v>
      </c>
      <c r="D82" s="2">
        <v>4</v>
      </c>
      <c r="E82" s="2">
        <v>5</v>
      </c>
      <c r="F82" s="2">
        <v>6</v>
      </c>
      <c r="G82" s="2">
        <v>7</v>
      </c>
      <c r="H82" s="2">
        <v>8</v>
      </c>
      <c r="I82" s="2">
        <v>9</v>
      </c>
      <c r="J82" s="2">
        <v>10</v>
      </c>
      <c r="K82" s="2">
        <v>11</v>
      </c>
    </row>
    <row r="83" spans="1:11" x14ac:dyDescent="0.2">
      <c r="A83" s="2" t="s">
        <v>321</v>
      </c>
      <c r="B83" s="178" t="s">
        <v>486</v>
      </c>
      <c r="C83" s="27">
        <v>3</v>
      </c>
      <c r="D83" s="27"/>
      <c r="E83" s="27"/>
      <c r="F83" s="27">
        <f>I83/C83</f>
        <v>0</v>
      </c>
      <c r="G83" s="27"/>
      <c r="H83" s="27"/>
      <c r="I83" s="5"/>
      <c r="J83" s="7"/>
      <c r="K83" s="7"/>
    </row>
    <row r="84" spans="1:11" x14ac:dyDescent="0.2">
      <c r="A84" s="49" t="s">
        <v>135</v>
      </c>
      <c r="B84" s="48">
        <v>9000</v>
      </c>
      <c r="C84" s="48" t="s">
        <v>12</v>
      </c>
      <c r="D84" s="48" t="s">
        <v>12</v>
      </c>
      <c r="E84" s="48" t="s">
        <v>12</v>
      </c>
      <c r="F84" s="48" t="s">
        <v>12</v>
      </c>
      <c r="G84" s="48" t="s">
        <v>12</v>
      </c>
      <c r="H84" s="48" t="s">
        <v>12</v>
      </c>
      <c r="I84" s="50">
        <f>SUM(I83:I83)</f>
        <v>0</v>
      </c>
      <c r="J84" s="50">
        <f>SUM(J83:J83)</f>
        <v>0</v>
      </c>
      <c r="K84" s="50">
        <f>SUM(K83:K83)</f>
        <v>0</v>
      </c>
    </row>
    <row r="87" spans="1:11" ht="15.75" x14ac:dyDescent="0.25">
      <c r="A87" s="46" t="s">
        <v>322</v>
      </c>
      <c r="B87" s="46" t="s">
        <v>375</v>
      </c>
      <c r="C87" s="46" t="s">
        <v>394</v>
      </c>
    </row>
    <row r="88" spans="1:11" ht="12.75" customHeight="1" x14ac:dyDescent="0.2">
      <c r="A88" s="241" t="s">
        <v>216</v>
      </c>
      <c r="B88" s="241" t="s">
        <v>1</v>
      </c>
      <c r="C88" s="247" t="s">
        <v>295</v>
      </c>
      <c r="D88" s="247"/>
      <c r="E88" s="247"/>
      <c r="F88" s="247" t="s">
        <v>296</v>
      </c>
      <c r="G88" s="247"/>
      <c r="H88" s="247"/>
      <c r="I88" s="247" t="s">
        <v>115</v>
      </c>
      <c r="J88" s="247"/>
      <c r="K88" s="247"/>
    </row>
    <row r="89" spans="1:11" x14ac:dyDescent="0.2">
      <c r="A89" s="241"/>
      <c r="B89" s="241"/>
      <c r="C89" s="204" t="s">
        <v>418</v>
      </c>
      <c r="D89" s="204" t="s">
        <v>451</v>
      </c>
      <c r="E89" s="204" t="s">
        <v>594</v>
      </c>
      <c r="F89" s="204" t="s">
        <v>418</v>
      </c>
      <c r="G89" s="204" t="s">
        <v>451</v>
      </c>
      <c r="H89" s="204" t="s">
        <v>594</v>
      </c>
      <c r="I89" s="204" t="s">
        <v>418</v>
      </c>
      <c r="J89" s="204" t="s">
        <v>451</v>
      </c>
      <c r="K89" s="204" t="s">
        <v>594</v>
      </c>
    </row>
    <row r="90" spans="1:11" ht="38.25" x14ac:dyDescent="0.2">
      <c r="A90" s="241"/>
      <c r="B90" s="241"/>
      <c r="C90" s="48" t="s">
        <v>75</v>
      </c>
      <c r="D90" s="48" t="s">
        <v>76</v>
      </c>
      <c r="E90" s="48" t="s">
        <v>77</v>
      </c>
      <c r="F90" s="48" t="s">
        <v>75</v>
      </c>
      <c r="G90" s="48" t="s">
        <v>76</v>
      </c>
      <c r="H90" s="48" t="s">
        <v>77</v>
      </c>
      <c r="I90" s="48" t="s">
        <v>75</v>
      </c>
      <c r="J90" s="48" t="s">
        <v>76</v>
      </c>
      <c r="K90" s="48" t="s">
        <v>77</v>
      </c>
    </row>
    <row r="91" spans="1:11" x14ac:dyDescent="0.2">
      <c r="A91" s="2">
        <v>1</v>
      </c>
      <c r="B91" s="2">
        <v>2</v>
      </c>
      <c r="C91" s="2">
        <v>3</v>
      </c>
      <c r="D91" s="2">
        <v>4</v>
      </c>
      <c r="E91" s="2">
        <v>5</v>
      </c>
      <c r="F91" s="2">
        <v>6</v>
      </c>
      <c r="G91" s="2">
        <v>7</v>
      </c>
      <c r="H91" s="2">
        <v>8</v>
      </c>
      <c r="I91" s="2">
        <v>9</v>
      </c>
      <c r="J91" s="2">
        <v>10</v>
      </c>
      <c r="K91" s="2">
        <v>11</v>
      </c>
    </row>
    <row r="92" spans="1:11" x14ac:dyDescent="0.2">
      <c r="A92" s="2" t="s">
        <v>327</v>
      </c>
      <c r="B92" s="178" t="s">
        <v>486</v>
      </c>
      <c r="C92" s="27">
        <v>1</v>
      </c>
      <c r="D92" s="2"/>
      <c r="E92" s="2"/>
      <c r="F92" s="27">
        <v>1384.57</v>
      </c>
      <c r="G92" s="2"/>
      <c r="H92" s="2"/>
      <c r="I92" s="5"/>
      <c r="J92" s="7"/>
      <c r="K92" s="7"/>
    </row>
    <row r="93" spans="1:11" x14ac:dyDescent="0.2">
      <c r="A93" s="49" t="s">
        <v>135</v>
      </c>
      <c r="B93" s="48">
        <v>9000</v>
      </c>
      <c r="C93" s="48" t="s">
        <v>12</v>
      </c>
      <c r="D93" s="48" t="s">
        <v>12</v>
      </c>
      <c r="E93" s="48" t="s">
        <v>12</v>
      </c>
      <c r="F93" s="48" t="s">
        <v>12</v>
      </c>
      <c r="G93" s="48" t="s">
        <v>12</v>
      </c>
      <c r="H93" s="48" t="s">
        <v>12</v>
      </c>
      <c r="I93" s="50">
        <f>SUM(I92:I92)</f>
        <v>0</v>
      </c>
      <c r="J93" s="50">
        <f>SUM(J92:J92)</f>
        <v>0</v>
      </c>
      <c r="K93" s="50">
        <f>SUM(K92:K92)</f>
        <v>0</v>
      </c>
    </row>
    <row r="96" spans="1:11" ht="15.75" x14ac:dyDescent="0.25">
      <c r="A96" s="46" t="s">
        <v>377</v>
      </c>
      <c r="B96" s="46" t="s">
        <v>375</v>
      </c>
      <c r="C96" s="46" t="s">
        <v>376</v>
      </c>
      <c r="D96" s="47">
        <v>622</v>
      </c>
      <c r="E96" s="47"/>
      <c r="F96" s="46"/>
      <c r="G96" s="46"/>
      <c r="H96" s="46"/>
      <c r="I96" s="46"/>
      <c r="J96" s="46"/>
      <c r="K96" s="46"/>
    </row>
    <row r="97" spans="1:11" x14ac:dyDescent="0.2">
      <c r="A97" s="241" t="s">
        <v>216</v>
      </c>
      <c r="B97" s="241" t="s">
        <v>1</v>
      </c>
      <c r="C97" s="247" t="s">
        <v>295</v>
      </c>
      <c r="D97" s="247"/>
      <c r="E97" s="247"/>
      <c r="F97" s="247" t="s">
        <v>296</v>
      </c>
      <c r="G97" s="247"/>
      <c r="H97" s="247"/>
      <c r="I97" s="247" t="s">
        <v>115</v>
      </c>
      <c r="J97" s="247"/>
      <c r="K97" s="247"/>
    </row>
    <row r="98" spans="1:11" x14ac:dyDescent="0.2">
      <c r="A98" s="241"/>
      <c r="B98" s="241"/>
      <c r="C98" s="204" t="s">
        <v>418</v>
      </c>
      <c r="D98" s="204" t="s">
        <v>451</v>
      </c>
      <c r="E98" s="204" t="s">
        <v>594</v>
      </c>
      <c r="F98" s="204" t="s">
        <v>418</v>
      </c>
      <c r="G98" s="204" t="s">
        <v>451</v>
      </c>
      <c r="H98" s="204" t="s">
        <v>594</v>
      </c>
      <c r="I98" s="204" t="s">
        <v>418</v>
      </c>
      <c r="J98" s="204" t="s">
        <v>451</v>
      </c>
      <c r="K98" s="204" t="s">
        <v>594</v>
      </c>
    </row>
    <row r="99" spans="1:11" ht="38.25" x14ac:dyDescent="0.2">
      <c r="A99" s="241"/>
      <c r="B99" s="241"/>
      <c r="C99" s="48" t="s">
        <v>75</v>
      </c>
      <c r="D99" s="48" t="s">
        <v>76</v>
      </c>
      <c r="E99" s="48" t="s">
        <v>77</v>
      </c>
      <c r="F99" s="48" t="s">
        <v>75</v>
      </c>
      <c r="G99" s="48" t="s">
        <v>76</v>
      </c>
      <c r="H99" s="48" t="s">
        <v>77</v>
      </c>
      <c r="I99" s="48" t="s">
        <v>75</v>
      </c>
      <c r="J99" s="48" t="s">
        <v>76</v>
      </c>
      <c r="K99" s="48" t="s">
        <v>77</v>
      </c>
    </row>
    <row r="100" spans="1:11" x14ac:dyDescent="0.2">
      <c r="A100" s="2">
        <v>1</v>
      </c>
      <c r="B100" s="2">
        <v>2</v>
      </c>
      <c r="C100" s="2">
        <v>3</v>
      </c>
      <c r="D100" s="2">
        <v>4</v>
      </c>
      <c r="E100" s="2">
        <v>5</v>
      </c>
      <c r="F100" s="2">
        <v>6</v>
      </c>
      <c r="G100" s="2">
        <v>7</v>
      </c>
      <c r="H100" s="2">
        <v>8</v>
      </c>
      <c r="I100" s="2">
        <v>9</v>
      </c>
      <c r="J100" s="2">
        <v>10</v>
      </c>
      <c r="K100" s="2">
        <v>11</v>
      </c>
    </row>
    <row r="101" spans="1:11" x14ac:dyDescent="0.2">
      <c r="A101" s="138" t="s">
        <v>470</v>
      </c>
      <c r="B101" s="178" t="s">
        <v>486</v>
      </c>
      <c r="C101" s="27"/>
      <c r="D101" s="130"/>
      <c r="E101" s="130"/>
      <c r="F101" s="27"/>
      <c r="G101" s="27"/>
      <c r="H101" s="27"/>
      <c r="I101" s="27"/>
      <c r="J101" s="130"/>
      <c r="K101" s="130"/>
    </row>
    <row r="102" spans="1:11" x14ac:dyDescent="0.2">
      <c r="A102" s="138" t="s">
        <v>475</v>
      </c>
      <c r="B102" s="178" t="s">
        <v>487</v>
      </c>
      <c r="C102" s="27"/>
      <c r="D102" s="130"/>
      <c r="E102" s="130"/>
      <c r="F102" s="27"/>
      <c r="G102" s="27"/>
      <c r="H102" s="27"/>
      <c r="I102" s="27"/>
      <c r="J102" s="130"/>
      <c r="K102" s="130"/>
    </row>
    <row r="103" spans="1:11" x14ac:dyDescent="0.2">
      <c r="A103" s="6" t="s">
        <v>439</v>
      </c>
      <c r="B103" s="178" t="s">
        <v>488</v>
      </c>
      <c r="C103" s="27"/>
      <c r="D103" s="6"/>
      <c r="E103" s="6"/>
      <c r="F103" s="5"/>
      <c r="G103" s="5"/>
      <c r="H103" s="5"/>
      <c r="I103" s="5"/>
      <c r="J103" s="5"/>
      <c r="K103" s="5">
        <f>J103</f>
        <v>0</v>
      </c>
    </row>
    <row r="104" spans="1:11" x14ac:dyDescent="0.2">
      <c r="A104" s="49" t="s">
        <v>135</v>
      </c>
      <c r="B104" s="48">
        <v>9000</v>
      </c>
      <c r="C104" s="48" t="s">
        <v>12</v>
      </c>
      <c r="D104" s="48" t="s">
        <v>12</v>
      </c>
      <c r="E104" s="48" t="s">
        <v>12</v>
      </c>
      <c r="F104" s="48" t="s">
        <v>12</v>
      </c>
      <c r="G104" s="48" t="s">
        <v>12</v>
      </c>
      <c r="H104" s="48" t="s">
        <v>12</v>
      </c>
      <c r="I104" s="50">
        <f>I101+I102+I103</f>
        <v>0</v>
      </c>
      <c r="J104" s="50">
        <f>SUM(J103:J103)</f>
        <v>0</v>
      </c>
      <c r="K104" s="50">
        <f>SUM(K103:K103)</f>
        <v>0</v>
      </c>
    </row>
    <row r="107" spans="1:11" ht="15.75" x14ac:dyDescent="0.25">
      <c r="A107" s="46" t="s">
        <v>476</v>
      </c>
      <c r="B107" s="46" t="s">
        <v>477</v>
      </c>
      <c r="C107" s="46" t="s">
        <v>478</v>
      </c>
      <c r="D107" s="129">
        <v>624</v>
      </c>
      <c r="E107" s="129"/>
      <c r="F107" s="46"/>
      <c r="G107" s="46"/>
      <c r="H107" s="46"/>
      <c r="I107" s="46"/>
      <c r="J107" s="46"/>
      <c r="K107" s="46"/>
    </row>
    <row r="108" spans="1:11" x14ac:dyDescent="0.2">
      <c r="A108" s="241" t="s">
        <v>216</v>
      </c>
      <c r="B108" s="241" t="s">
        <v>1</v>
      </c>
      <c r="C108" s="247" t="s">
        <v>295</v>
      </c>
      <c r="D108" s="247"/>
      <c r="E108" s="247"/>
      <c r="F108" s="247" t="s">
        <v>296</v>
      </c>
      <c r="G108" s="247"/>
      <c r="H108" s="247"/>
      <c r="I108" s="247" t="s">
        <v>115</v>
      </c>
      <c r="J108" s="247"/>
      <c r="K108" s="247"/>
    </row>
    <row r="109" spans="1:11" x14ac:dyDescent="0.2">
      <c r="A109" s="241"/>
      <c r="B109" s="241"/>
      <c r="C109" s="204" t="s">
        <v>418</v>
      </c>
      <c r="D109" s="204" t="s">
        <v>451</v>
      </c>
      <c r="E109" s="204" t="s">
        <v>594</v>
      </c>
      <c r="F109" s="204" t="s">
        <v>418</v>
      </c>
      <c r="G109" s="204" t="s">
        <v>451</v>
      </c>
      <c r="H109" s="204" t="s">
        <v>594</v>
      </c>
      <c r="I109" s="204" t="s">
        <v>418</v>
      </c>
      <c r="J109" s="204" t="s">
        <v>451</v>
      </c>
      <c r="K109" s="204" t="s">
        <v>594</v>
      </c>
    </row>
    <row r="110" spans="1:11" ht="38.25" x14ac:dyDescent="0.2">
      <c r="A110" s="241"/>
      <c r="B110" s="241"/>
      <c r="C110" s="132" t="s">
        <v>75</v>
      </c>
      <c r="D110" s="132" t="s">
        <v>76</v>
      </c>
      <c r="E110" s="132" t="s">
        <v>77</v>
      </c>
      <c r="F110" s="132" t="s">
        <v>75</v>
      </c>
      <c r="G110" s="132" t="s">
        <v>76</v>
      </c>
      <c r="H110" s="132" t="s">
        <v>77</v>
      </c>
      <c r="I110" s="132" t="s">
        <v>75</v>
      </c>
      <c r="J110" s="132" t="s">
        <v>76</v>
      </c>
      <c r="K110" s="132" t="s">
        <v>77</v>
      </c>
    </row>
    <row r="111" spans="1:11" x14ac:dyDescent="0.2">
      <c r="A111" s="130">
        <v>1</v>
      </c>
      <c r="B111" s="130">
        <v>2</v>
      </c>
      <c r="C111" s="130">
        <v>3</v>
      </c>
      <c r="D111" s="130">
        <v>4</v>
      </c>
      <c r="E111" s="130">
        <v>5</v>
      </c>
      <c r="F111" s="130">
        <v>6</v>
      </c>
      <c r="G111" s="130">
        <v>7</v>
      </c>
      <c r="H111" s="130">
        <v>8</v>
      </c>
      <c r="I111" s="130">
        <v>9</v>
      </c>
      <c r="J111" s="130">
        <v>10</v>
      </c>
      <c r="K111" s="130">
        <v>11</v>
      </c>
    </row>
    <row r="112" spans="1:11" x14ac:dyDescent="0.2">
      <c r="A112" s="138" t="s">
        <v>479</v>
      </c>
      <c r="B112" s="178" t="s">
        <v>486</v>
      </c>
      <c r="C112" s="27">
        <v>1</v>
      </c>
      <c r="D112" s="130"/>
      <c r="E112" s="130"/>
      <c r="F112" s="27">
        <f>I112</f>
        <v>0</v>
      </c>
      <c r="G112" s="27"/>
      <c r="H112" s="27"/>
      <c r="I112" s="27"/>
      <c r="J112" s="130"/>
      <c r="K112" s="130"/>
    </row>
    <row r="113" spans="1:11" x14ac:dyDescent="0.2">
      <c r="A113" s="138" t="s">
        <v>475</v>
      </c>
      <c r="B113" s="130"/>
      <c r="C113" s="130"/>
      <c r="D113" s="130"/>
      <c r="E113" s="130"/>
      <c r="F113" s="27"/>
      <c r="G113" s="27"/>
      <c r="H113" s="27"/>
      <c r="I113" s="27"/>
      <c r="J113" s="130"/>
      <c r="K113" s="130"/>
    </row>
    <row r="114" spans="1:11" x14ac:dyDescent="0.2">
      <c r="A114" s="133" t="s">
        <v>439</v>
      </c>
      <c r="B114" s="130">
        <v>1</v>
      </c>
      <c r="C114" s="133"/>
      <c r="D114" s="133"/>
      <c r="E114" s="133"/>
      <c r="F114" s="131"/>
      <c r="G114" s="131"/>
      <c r="H114" s="131"/>
      <c r="I114" s="131"/>
      <c r="J114" s="131"/>
      <c r="K114" s="131">
        <f>J114</f>
        <v>0</v>
      </c>
    </row>
    <row r="115" spans="1:11" x14ac:dyDescent="0.2">
      <c r="A115" s="49" t="s">
        <v>135</v>
      </c>
      <c r="B115" s="132">
        <v>9000</v>
      </c>
      <c r="C115" s="132" t="s">
        <v>12</v>
      </c>
      <c r="D115" s="132" t="s">
        <v>12</v>
      </c>
      <c r="E115" s="132" t="s">
        <v>12</v>
      </c>
      <c r="F115" s="132" t="s">
        <v>12</v>
      </c>
      <c r="G115" s="132" t="s">
        <v>12</v>
      </c>
      <c r="H115" s="132" t="s">
        <v>12</v>
      </c>
      <c r="I115" s="50">
        <f>I112+I113+I114</f>
        <v>0</v>
      </c>
      <c r="J115" s="50">
        <f>SUM(J114:J114)</f>
        <v>0</v>
      </c>
      <c r="K115" s="50">
        <f>SUM(K114:K114)</f>
        <v>0</v>
      </c>
    </row>
  </sheetData>
  <mergeCells count="55">
    <mergeCell ref="A97:A99"/>
    <mergeCell ref="B97:B99"/>
    <mergeCell ref="C97:E97"/>
    <mergeCell ref="F97:H97"/>
    <mergeCell ref="I97:K97"/>
    <mergeCell ref="A22:A24"/>
    <mergeCell ref="B22:B24"/>
    <mergeCell ref="C22:E22"/>
    <mergeCell ref="F22:H22"/>
    <mergeCell ref="I22:K22"/>
    <mergeCell ref="A70:A72"/>
    <mergeCell ref="B70:B72"/>
    <mergeCell ref="C70:E70"/>
    <mergeCell ref="F70:H70"/>
    <mergeCell ref="I70:K70"/>
    <mergeCell ref="A61:A63"/>
    <mergeCell ref="B61:B63"/>
    <mergeCell ref="C61:E61"/>
    <mergeCell ref="F61:H61"/>
    <mergeCell ref="I61:K61"/>
    <mergeCell ref="A52:A54"/>
    <mergeCell ref="B52:B54"/>
    <mergeCell ref="C52:E52"/>
    <mergeCell ref="F52:H52"/>
    <mergeCell ref="I52:K52"/>
    <mergeCell ref="A43:A45"/>
    <mergeCell ref="B43:B45"/>
    <mergeCell ref="C43:E43"/>
    <mergeCell ref="F43:H43"/>
    <mergeCell ref="I43:K43"/>
    <mergeCell ref="A31:A33"/>
    <mergeCell ref="B31:B33"/>
    <mergeCell ref="C31:E31"/>
    <mergeCell ref="F31:H31"/>
    <mergeCell ref="I31:K31"/>
    <mergeCell ref="A4:A6"/>
    <mergeCell ref="B4:B6"/>
    <mergeCell ref="C4:E4"/>
    <mergeCell ref="F4:H4"/>
    <mergeCell ref="I4:K4"/>
    <mergeCell ref="A79:A81"/>
    <mergeCell ref="B79:B81"/>
    <mergeCell ref="C79:E79"/>
    <mergeCell ref="F79:H79"/>
    <mergeCell ref="I79:K79"/>
    <mergeCell ref="A88:A90"/>
    <mergeCell ref="B88:B90"/>
    <mergeCell ref="C88:E88"/>
    <mergeCell ref="F88:H88"/>
    <mergeCell ref="I88:K88"/>
    <mergeCell ref="A108:A110"/>
    <mergeCell ref="B108:B110"/>
    <mergeCell ref="C108:E108"/>
    <mergeCell ref="F108:H108"/>
    <mergeCell ref="I108:K10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6" sqref="G36"/>
    </sheetView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3"/>
  <sheetViews>
    <sheetView workbookViewId="0">
      <selection activeCell="I6" sqref="I6"/>
    </sheetView>
  </sheetViews>
  <sheetFormatPr defaultRowHeight="12.75" x14ac:dyDescent="0.2"/>
  <cols>
    <col min="1" max="1" width="31.5703125" style="3" customWidth="1"/>
    <col min="2" max="2" width="9.140625" style="3"/>
    <col min="3" max="11" width="13.140625" style="3" customWidth="1"/>
    <col min="12" max="16384" width="9.140625" style="3"/>
  </cols>
  <sheetData>
    <row r="1" spans="1:11" x14ac:dyDescent="0.2">
      <c r="A1" s="3" t="s">
        <v>136</v>
      </c>
    </row>
    <row r="3" spans="1:11" x14ac:dyDescent="0.2">
      <c r="A3" s="241" t="s">
        <v>128</v>
      </c>
      <c r="B3" s="241" t="s">
        <v>1</v>
      </c>
      <c r="C3" s="241" t="s">
        <v>129</v>
      </c>
      <c r="D3" s="241"/>
      <c r="E3" s="241"/>
      <c r="F3" s="241" t="s">
        <v>130</v>
      </c>
      <c r="G3" s="241"/>
      <c r="H3" s="241"/>
      <c r="I3" s="241" t="s">
        <v>131</v>
      </c>
      <c r="J3" s="241"/>
      <c r="K3" s="241"/>
    </row>
    <row r="4" spans="1:11" x14ac:dyDescent="0.2">
      <c r="A4" s="241"/>
      <c r="B4" s="241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2" t="s">
        <v>4</v>
      </c>
      <c r="K4" s="2" t="s">
        <v>4</v>
      </c>
    </row>
    <row r="5" spans="1:11" ht="38.25" x14ac:dyDescent="0.2">
      <c r="A5" s="241"/>
      <c r="B5" s="241"/>
      <c r="C5" s="2" t="s">
        <v>75</v>
      </c>
      <c r="D5" s="2" t="s">
        <v>76</v>
      </c>
      <c r="E5" s="2" t="s">
        <v>77</v>
      </c>
      <c r="F5" s="2" t="s">
        <v>75</v>
      </c>
      <c r="G5" s="2" t="s">
        <v>76</v>
      </c>
      <c r="H5" s="2" t="s">
        <v>77</v>
      </c>
      <c r="I5" s="2" t="s">
        <v>75</v>
      </c>
      <c r="J5" s="2" t="s">
        <v>76</v>
      </c>
      <c r="K5" s="2" t="s">
        <v>77</v>
      </c>
    </row>
    <row r="6" spans="1:1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x14ac:dyDescent="0.2">
      <c r="A7" s="6" t="s">
        <v>132</v>
      </c>
      <c r="B7" s="2">
        <v>100</v>
      </c>
      <c r="C7" s="2" t="s">
        <v>12</v>
      </c>
      <c r="D7" s="2" t="s">
        <v>12</v>
      </c>
      <c r="E7" s="2" t="s">
        <v>12</v>
      </c>
      <c r="F7" s="2" t="s">
        <v>12</v>
      </c>
      <c r="G7" s="2" t="s">
        <v>12</v>
      </c>
      <c r="H7" s="2" t="s">
        <v>12</v>
      </c>
      <c r="I7" s="6"/>
      <c r="J7" s="6"/>
      <c r="K7" s="6"/>
    </row>
    <row r="8" spans="1:11" x14ac:dyDescent="0.2">
      <c r="A8" s="6" t="s">
        <v>133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6"/>
      <c r="B9" s="2">
        <v>101</v>
      </c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A10" s="6" t="s">
        <v>134</v>
      </c>
      <c r="B10" s="2">
        <v>200</v>
      </c>
      <c r="C10" s="2" t="s">
        <v>12</v>
      </c>
      <c r="D10" s="2" t="s">
        <v>12</v>
      </c>
      <c r="E10" s="2" t="s">
        <v>12</v>
      </c>
      <c r="F10" s="2" t="s">
        <v>12</v>
      </c>
      <c r="G10" s="2" t="s">
        <v>12</v>
      </c>
      <c r="H10" s="2" t="s">
        <v>12</v>
      </c>
      <c r="I10" s="6"/>
      <c r="J10" s="6"/>
      <c r="K10" s="6"/>
    </row>
    <row r="11" spans="1:11" x14ac:dyDescent="0.2">
      <c r="A11" s="6" t="s">
        <v>133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">
      <c r="A12" s="6"/>
      <c r="B12" s="2">
        <v>201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2">
      <c r="A13" s="6" t="s">
        <v>135</v>
      </c>
      <c r="B13" s="2">
        <v>9000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  <c r="H13" s="2" t="s">
        <v>12</v>
      </c>
      <c r="I13" s="6"/>
      <c r="J13" s="6"/>
      <c r="K13" s="6"/>
    </row>
  </sheetData>
  <mergeCells count="5">
    <mergeCell ref="A3:A5"/>
    <mergeCell ref="B3:B5"/>
    <mergeCell ref="C3:E3"/>
    <mergeCell ref="F3:H3"/>
    <mergeCell ref="I3:K3"/>
  </mergeCells>
  <pageMargins left="0.7" right="0.7" top="0.75" bottom="0.75" header="0.3" footer="0.3"/>
  <pageSetup paperSize="9" scale="8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"/>
  <sheetViews>
    <sheetView workbookViewId="0">
      <selection activeCell="H22" sqref="H22"/>
    </sheetView>
  </sheetViews>
  <sheetFormatPr defaultRowHeight="12.75" x14ac:dyDescent="0.2"/>
  <cols>
    <col min="1" max="1" width="21.140625" style="3" customWidth="1"/>
    <col min="2" max="2" width="9.140625" style="3"/>
    <col min="3" max="11" width="17.140625" style="3" customWidth="1"/>
    <col min="12" max="16384" width="9.140625" style="3"/>
  </cols>
  <sheetData>
    <row r="1" spans="1:11" x14ac:dyDescent="0.2">
      <c r="A1" s="3" t="s">
        <v>143</v>
      </c>
    </row>
    <row r="3" spans="1:11" ht="69" customHeight="1" x14ac:dyDescent="0.2">
      <c r="A3" s="241" t="s">
        <v>0</v>
      </c>
      <c r="B3" s="241" t="s">
        <v>1</v>
      </c>
      <c r="C3" s="241" t="s">
        <v>138</v>
      </c>
      <c r="D3" s="241"/>
      <c r="E3" s="241"/>
      <c r="F3" s="241" t="s">
        <v>139</v>
      </c>
      <c r="G3" s="241"/>
      <c r="H3" s="241"/>
      <c r="I3" s="241" t="s">
        <v>140</v>
      </c>
      <c r="J3" s="241"/>
      <c r="K3" s="241"/>
    </row>
    <row r="4" spans="1:11" x14ac:dyDescent="0.2">
      <c r="A4" s="241"/>
      <c r="B4" s="241"/>
      <c r="C4" s="2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2" t="s">
        <v>4</v>
      </c>
      <c r="J4" s="2" t="s">
        <v>4</v>
      </c>
      <c r="K4" s="2" t="s">
        <v>4</v>
      </c>
    </row>
    <row r="5" spans="1:11" ht="25.5" x14ac:dyDescent="0.2">
      <c r="A5" s="241"/>
      <c r="B5" s="241"/>
      <c r="C5" s="2" t="s">
        <v>75</v>
      </c>
      <c r="D5" s="2" t="s">
        <v>76</v>
      </c>
      <c r="E5" s="2" t="s">
        <v>77</v>
      </c>
      <c r="F5" s="2" t="s">
        <v>75</v>
      </c>
      <c r="G5" s="2" t="s">
        <v>76</v>
      </c>
      <c r="H5" s="2" t="s">
        <v>77</v>
      </c>
      <c r="I5" s="2" t="s">
        <v>75</v>
      </c>
      <c r="J5" s="2" t="s">
        <v>76</v>
      </c>
      <c r="K5" s="2" t="s">
        <v>77</v>
      </c>
    </row>
    <row r="6" spans="1:1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x14ac:dyDescent="0.2">
      <c r="A7" s="6" t="s">
        <v>141</v>
      </c>
      <c r="B7" s="2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6" t="s">
        <v>142</v>
      </c>
      <c r="B8" s="2">
        <v>2</v>
      </c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A10" s="6" t="s">
        <v>135</v>
      </c>
      <c r="B10" s="2">
        <v>9000</v>
      </c>
      <c r="C10" s="2" t="s">
        <v>12</v>
      </c>
      <c r="D10" s="2" t="s">
        <v>12</v>
      </c>
      <c r="E10" s="2" t="s">
        <v>12</v>
      </c>
      <c r="F10" s="2" t="s">
        <v>12</v>
      </c>
      <c r="G10" s="2" t="s">
        <v>12</v>
      </c>
      <c r="H10" s="2" t="s">
        <v>12</v>
      </c>
      <c r="I10" s="6"/>
      <c r="J10" s="6"/>
      <c r="K10" s="6"/>
    </row>
  </sheetData>
  <mergeCells count="5">
    <mergeCell ref="A3:A5"/>
    <mergeCell ref="B3:B5"/>
    <mergeCell ref="C3:E3"/>
    <mergeCell ref="F3:H3"/>
    <mergeCell ref="I3:K3"/>
  </mergeCells>
  <pageMargins left="0.7" right="0.7" top="0.75" bottom="0.75" header="0.3" footer="0.3"/>
  <pageSetup paperSize="9" scale="7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18"/>
  <sheetViews>
    <sheetView workbookViewId="0">
      <selection activeCell="C5" sqref="C5:E5"/>
    </sheetView>
  </sheetViews>
  <sheetFormatPr defaultRowHeight="12.75" x14ac:dyDescent="0.2"/>
  <cols>
    <col min="1" max="1" width="48.7109375" style="3" customWidth="1"/>
    <col min="2" max="2" width="9.140625" style="3"/>
    <col min="3" max="6" width="16" style="3" customWidth="1"/>
    <col min="7" max="16384" width="9.140625" style="3"/>
  </cols>
  <sheetData>
    <row r="1" spans="1:5" ht="32.25" customHeight="1" x14ac:dyDescent="0.25">
      <c r="A1" s="245" t="s">
        <v>149</v>
      </c>
      <c r="B1" s="245"/>
      <c r="C1" s="245"/>
      <c r="D1" s="245"/>
      <c r="E1" s="245"/>
    </row>
    <row r="2" spans="1:5" ht="15.75" x14ac:dyDescent="0.25">
      <c r="A2" s="65"/>
      <c r="B2" s="65"/>
      <c r="C2" s="65"/>
      <c r="D2" s="65"/>
      <c r="E2" s="65"/>
    </row>
    <row r="3" spans="1:5" ht="31.5" customHeight="1" x14ac:dyDescent="0.25">
      <c r="A3" s="246" t="s">
        <v>148</v>
      </c>
      <c r="B3" s="246"/>
      <c r="C3" s="246"/>
      <c r="D3" s="246"/>
      <c r="E3" s="246"/>
    </row>
    <row r="4" spans="1:5" x14ac:dyDescent="0.2">
      <c r="A4" s="241" t="s">
        <v>0</v>
      </c>
      <c r="B4" s="241" t="s">
        <v>1</v>
      </c>
      <c r="C4" s="247" t="s">
        <v>115</v>
      </c>
      <c r="D4" s="247"/>
      <c r="E4" s="247"/>
    </row>
    <row r="5" spans="1:5" x14ac:dyDescent="0.2">
      <c r="A5" s="241"/>
      <c r="B5" s="241"/>
      <c r="C5" s="48" t="s">
        <v>418</v>
      </c>
      <c r="D5" s="48" t="s">
        <v>451</v>
      </c>
      <c r="E5" s="48" t="s">
        <v>590</v>
      </c>
    </row>
    <row r="6" spans="1:5" ht="38.25" x14ac:dyDescent="0.2">
      <c r="A6" s="241"/>
      <c r="B6" s="241"/>
      <c r="C6" s="48" t="s">
        <v>75</v>
      </c>
      <c r="D6" s="48" t="s">
        <v>76</v>
      </c>
      <c r="E6" s="48" t="s">
        <v>77</v>
      </c>
    </row>
    <row r="7" spans="1:5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ht="25.5" x14ac:dyDescent="0.2">
      <c r="A8" s="6" t="s">
        <v>116</v>
      </c>
      <c r="B8" s="178" t="s">
        <v>501</v>
      </c>
      <c r="C8" s="5">
        <v>0</v>
      </c>
      <c r="D8" s="5"/>
      <c r="E8" s="5"/>
    </row>
    <row r="9" spans="1:5" ht="38.25" x14ac:dyDescent="0.2">
      <c r="A9" s="6" t="s">
        <v>117</v>
      </c>
      <c r="B9" s="178" t="s">
        <v>502</v>
      </c>
      <c r="C9" s="5">
        <v>0</v>
      </c>
      <c r="D9" s="5"/>
      <c r="E9" s="5"/>
    </row>
    <row r="10" spans="1:5" ht="25.5" x14ac:dyDescent="0.2">
      <c r="A10" s="6" t="s">
        <v>146</v>
      </c>
      <c r="B10" s="178" t="s">
        <v>503</v>
      </c>
      <c r="C10" s="40">
        <f>C11+C13+C14+C15</f>
        <v>32052598</v>
      </c>
      <c r="D10" s="5">
        <f>D11+D13+D14</f>
        <v>31868620</v>
      </c>
      <c r="E10" s="5">
        <f>D10</f>
        <v>31868620</v>
      </c>
    </row>
    <row r="11" spans="1:5" x14ac:dyDescent="0.2">
      <c r="A11" s="6" t="s">
        <v>15</v>
      </c>
      <c r="B11" s="242" t="s">
        <v>504</v>
      </c>
      <c r="C11" s="243">
        <f>'3.2.2'!I15</f>
        <v>30091098</v>
      </c>
      <c r="D11" s="244">
        <f>'3.2.2'!J15</f>
        <v>29907120</v>
      </c>
      <c r="E11" s="244">
        <f>'3.2.2'!K15</f>
        <v>29907120</v>
      </c>
    </row>
    <row r="12" spans="1:5" ht="25.5" x14ac:dyDescent="0.2">
      <c r="A12" s="6" t="s">
        <v>21</v>
      </c>
      <c r="B12" s="242"/>
      <c r="C12" s="243"/>
      <c r="D12" s="244"/>
      <c r="E12" s="244"/>
    </row>
    <row r="13" spans="1:5" ht="38.25" x14ac:dyDescent="0.2">
      <c r="A13" s="6" t="s">
        <v>278</v>
      </c>
      <c r="B13" s="178" t="s">
        <v>505</v>
      </c>
      <c r="C13" s="40">
        <f>'3.2.3пит рп'!I8</f>
        <v>1961500</v>
      </c>
      <c r="D13" s="5">
        <f>'3.2.3пит рп'!J8</f>
        <v>1961500</v>
      </c>
      <c r="E13" s="5">
        <f>'3.2.3пит рп'!K8</f>
        <v>1961500</v>
      </c>
    </row>
    <row r="14" spans="1:5" ht="51" x14ac:dyDescent="0.2">
      <c r="A14" s="6" t="s">
        <v>277</v>
      </c>
      <c r="B14" s="178" t="s">
        <v>506</v>
      </c>
      <c r="C14" s="40">
        <f>'3.2.4'!I17</f>
        <v>0</v>
      </c>
      <c r="D14" s="5">
        <f>'3.2.4'!J17</f>
        <v>0</v>
      </c>
      <c r="E14" s="5">
        <f t="shared" ref="D14:E15" si="0">D14</f>
        <v>0</v>
      </c>
    </row>
    <row r="15" spans="1:5" ht="38.25" x14ac:dyDescent="0.2">
      <c r="A15" s="6" t="s">
        <v>23</v>
      </c>
      <c r="B15" s="178" t="s">
        <v>507</v>
      </c>
      <c r="C15" s="40">
        <f>'3.2.5'!I8</f>
        <v>0</v>
      </c>
      <c r="D15" s="5">
        <f t="shared" si="0"/>
        <v>0</v>
      </c>
      <c r="E15" s="5">
        <f t="shared" si="0"/>
        <v>0</v>
      </c>
    </row>
    <row r="16" spans="1:5" ht="25.5" x14ac:dyDescent="0.2">
      <c r="A16" s="6" t="s">
        <v>125</v>
      </c>
      <c r="B16" s="178" t="s">
        <v>508</v>
      </c>
      <c r="C16" s="5"/>
      <c r="D16" s="5"/>
      <c r="E16" s="5"/>
    </row>
    <row r="17" spans="1:5" ht="38.25" x14ac:dyDescent="0.2">
      <c r="A17" s="6" t="s">
        <v>126</v>
      </c>
      <c r="B17" s="178" t="s">
        <v>509</v>
      </c>
      <c r="C17" s="5"/>
      <c r="D17" s="5"/>
      <c r="E17" s="5"/>
    </row>
    <row r="18" spans="1:5" ht="38.25" x14ac:dyDescent="0.2">
      <c r="A18" s="6" t="s">
        <v>147</v>
      </c>
      <c r="B18" s="178" t="s">
        <v>510</v>
      </c>
      <c r="C18" s="5">
        <f>C10</f>
        <v>32052598</v>
      </c>
      <c r="D18" s="5">
        <f t="shared" ref="D18:E18" si="1">D10</f>
        <v>31868620</v>
      </c>
      <c r="E18" s="5">
        <f t="shared" si="1"/>
        <v>31868620</v>
      </c>
    </row>
  </sheetData>
  <mergeCells count="9">
    <mergeCell ref="B11:B12"/>
    <mergeCell ref="C11:C12"/>
    <mergeCell ref="D11:D12"/>
    <mergeCell ref="E11:E12"/>
    <mergeCell ref="A1:E1"/>
    <mergeCell ref="A3:E3"/>
    <mergeCell ref="A4:A6"/>
    <mergeCell ref="B4:B6"/>
    <mergeCell ref="C4:E4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"/>
  <sheetViews>
    <sheetView workbookViewId="0">
      <selection sqref="A1:K17"/>
    </sheetView>
  </sheetViews>
  <sheetFormatPr defaultRowHeight="12.75" x14ac:dyDescent="0.2"/>
  <cols>
    <col min="1" max="1" width="27.7109375" style="3" customWidth="1"/>
    <col min="2" max="2" width="9.140625" style="3"/>
    <col min="3" max="11" width="15.5703125" style="3" customWidth="1"/>
    <col min="12" max="16384" width="9.140625" style="3"/>
  </cols>
  <sheetData>
    <row r="1" spans="1:11" ht="15.75" x14ac:dyDescent="0.25">
      <c r="A1" s="46" t="s">
        <v>153</v>
      </c>
      <c r="B1" s="46"/>
      <c r="C1" s="46"/>
      <c r="D1" s="46"/>
      <c r="E1" s="46"/>
      <c r="F1" s="46"/>
      <c r="G1" s="46"/>
    </row>
    <row r="2" spans="1:11" ht="15.75" x14ac:dyDescent="0.25">
      <c r="A2" s="46"/>
      <c r="B2" s="46"/>
      <c r="C2" s="46"/>
      <c r="D2" s="46"/>
      <c r="E2" s="46"/>
      <c r="F2" s="46"/>
      <c r="G2" s="46"/>
    </row>
    <row r="4" spans="1:11" ht="49.5" customHeight="1" x14ac:dyDescent="0.2">
      <c r="A4" s="241" t="s">
        <v>0</v>
      </c>
      <c r="B4" s="241" t="s">
        <v>1</v>
      </c>
      <c r="C4" s="247" t="s">
        <v>150</v>
      </c>
      <c r="D4" s="247"/>
      <c r="E4" s="247"/>
      <c r="F4" s="247" t="s">
        <v>151</v>
      </c>
      <c r="G4" s="247"/>
      <c r="H4" s="247"/>
      <c r="I4" s="247" t="s">
        <v>152</v>
      </c>
      <c r="J4" s="247"/>
      <c r="K4" s="247"/>
    </row>
    <row r="5" spans="1:11" x14ac:dyDescent="0.2">
      <c r="A5" s="241"/>
      <c r="B5" s="241"/>
      <c r="C5" s="204" t="s">
        <v>418</v>
      </c>
      <c r="D5" s="204" t="s">
        <v>451</v>
      </c>
      <c r="E5" s="204" t="s">
        <v>590</v>
      </c>
      <c r="F5" s="204" t="s">
        <v>418</v>
      </c>
      <c r="G5" s="204" t="s">
        <v>451</v>
      </c>
      <c r="H5" s="204" t="s">
        <v>590</v>
      </c>
      <c r="I5" s="204" t="s">
        <v>418</v>
      </c>
      <c r="J5" s="204" t="s">
        <v>451</v>
      </c>
      <c r="K5" s="204" t="s">
        <v>590</v>
      </c>
    </row>
    <row r="6" spans="1:11" ht="38.25" x14ac:dyDescent="0.2">
      <c r="A6" s="241"/>
      <c r="B6" s="241"/>
      <c r="C6" s="48" t="s">
        <v>75</v>
      </c>
      <c r="D6" s="48" t="s">
        <v>76</v>
      </c>
      <c r="E6" s="48" t="s">
        <v>77</v>
      </c>
      <c r="F6" s="48" t="s">
        <v>75</v>
      </c>
      <c r="G6" s="48" t="s">
        <v>76</v>
      </c>
      <c r="H6" s="48" t="s">
        <v>77</v>
      </c>
      <c r="I6" s="48" t="s">
        <v>75</v>
      </c>
      <c r="J6" s="48" t="s">
        <v>76</v>
      </c>
      <c r="K6" s="48" t="s">
        <v>77</v>
      </c>
    </row>
    <row r="7" spans="1:1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38.25" x14ac:dyDescent="0.2">
      <c r="A8" s="6" t="s">
        <v>355</v>
      </c>
      <c r="B8" s="178" t="s">
        <v>486</v>
      </c>
      <c r="C8" s="33">
        <f>I8/F8</f>
        <v>123224.40829931972</v>
      </c>
      <c r="D8" s="33">
        <f t="shared" ref="D8:E8" si="0">J8/G8</f>
        <v>123224.40829931972</v>
      </c>
      <c r="E8" s="33">
        <f t="shared" si="0"/>
        <v>123224.40829931972</v>
      </c>
      <c r="F8" s="6">
        <v>147</v>
      </c>
      <c r="G8" s="6">
        <v>147</v>
      </c>
      <c r="H8" s="6">
        <v>147</v>
      </c>
      <c r="I8" s="5">
        <f>14522154.02+3591834</f>
        <v>18113988.02</v>
      </c>
      <c r="J8" s="5">
        <v>18113988.02</v>
      </c>
      <c r="K8" s="5">
        <f>J8</f>
        <v>18113988.02</v>
      </c>
    </row>
    <row r="9" spans="1:11" ht="25.5" x14ac:dyDescent="0.2">
      <c r="A9" s="6" t="s">
        <v>356</v>
      </c>
      <c r="B9" s="178" t="s">
        <v>487</v>
      </c>
      <c r="C9" s="6">
        <v>307788.46999999997</v>
      </c>
      <c r="D9" s="6">
        <v>307788.46999999997</v>
      </c>
      <c r="E9" s="6">
        <v>307788.46999999997</v>
      </c>
      <c r="F9" s="6">
        <v>24</v>
      </c>
      <c r="G9" s="6">
        <v>24</v>
      </c>
      <c r="H9" s="6">
        <v>24</v>
      </c>
      <c r="I9" s="5">
        <v>7386923.29</v>
      </c>
      <c r="J9" s="5">
        <v>7386923.29</v>
      </c>
      <c r="K9" s="5">
        <v>7386923.29</v>
      </c>
    </row>
    <row r="10" spans="1:11" ht="25.5" x14ac:dyDescent="0.2">
      <c r="A10" s="6" t="s">
        <v>357</v>
      </c>
      <c r="B10" s="178" t="s">
        <v>488</v>
      </c>
      <c r="C10" s="6">
        <v>12902.56</v>
      </c>
      <c r="D10" s="6">
        <v>12902.56</v>
      </c>
      <c r="E10" s="6">
        <v>12902.56</v>
      </c>
      <c r="F10" s="6">
        <v>122</v>
      </c>
      <c r="G10" s="6">
        <v>122</v>
      </c>
      <c r="H10" s="6">
        <v>122</v>
      </c>
      <c r="I10" s="5">
        <v>1574112.82</v>
      </c>
      <c r="J10" s="5">
        <v>1574112.82</v>
      </c>
      <c r="K10" s="5">
        <v>1574112.82</v>
      </c>
    </row>
    <row r="11" spans="1:11" ht="25.5" x14ac:dyDescent="0.2">
      <c r="A11" s="6" t="s">
        <v>358</v>
      </c>
      <c r="B11" s="178" t="s">
        <v>511</v>
      </c>
      <c r="C11" s="6">
        <v>12902.56</v>
      </c>
      <c r="D11" s="6">
        <v>12902.56</v>
      </c>
      <c r="E11" s="6">
        <v>12902.56</v>
      </c>
      <c r="F11" s="6">
        <v>23</v>
      </c>
      <c r="G11" s="6">
        <v>23</v>
      </c>
      <c r="H11" s="6">
        <v>23</v>
      </c>
      <c r="I11" s="5">
        <v>296758.96999999997</v>
      </c>
      <c r="J11" s="5">
        <v>296758.96999999997</v>
      </c>
      <c r="K11" s="5">
        <v>296758.96999999997</v>
      </c>
    </row>
    <row r="12" spans="1:11" x14ac:dyDescent="0.2">
      <c r="A12" s="6" t="s">
        <v>359</v>
      </c>
      <c r="B12" s="178" t="s">
        <v>512</v>
      </c>
      <c r="C12" s="6">
        <v>12902.56</v>
      </c>
      <c r="D12" s="6">
        <v>12902.56</v>
      </c>
      <c r="E12" s="6">
        <v>12902.56</v>
      </c>
      <c r="F12" s="6">
        <v>10</v>
      </c>
      <c r="G12" s="6">
        <v>10</v>
      </c>
      <c r="H12" s="6">
        <v>10</v>
      </c>
      <c r="I12" s="5">
        <v>129025.64</v>
      </c>
      <c r="J12" s="5">
        <v>129025.64</v>
      </c>
      <c r="K12" s="5">
        <v>129025.64</v>
      </c>
    </row>
    <row r="13" spans="1:11" x14ac:dyDescent="0.2">
      <c r="A13" s="6" t="s">
        <v>360</v>
      </c>
      <c r="B13" s="178" t="s">
        <v>513</v>
      </c>
      <c r="C13" s="6">
        <v>12902.56</v>
      </c>
      <c r="D13" s="6">
        <v>12902.56</v>
      </c>
      <c r="E13" s="6">
        <v>12902.56</v>
      </c>
      <c r="F13" s="6">
        <v>1</v>
      </c>
      <c r="G13" s="6">
        <v>1</v>
      </c>
      <c r="H13" s="6">
        <v>1</v>
      </c>
      <c r="I13" s="5">
        <v>12902.56</v>
      </c>
      <c r="J13" s="5">
        <v>12902.56</v>
      </c>
      <c r="K13" s="5">
        <v>12902.56</v>
      </c>
    </row>
    <row r="14" spans="1:11" ht="25.5" x14ac:dyDescent="0.2">
      <c r="A14" s="6" t="s">
        <v>361</v>
      </c>
      <c r="B14" s="178" t="s">
        <v>514</v>
      </c>
      <c r="C14" s="6">
        <v>1224.28</v>
      </c>
      <c r="D14" s="6">
        <v>1224.28</v>
      </c>
      <c r="E14" s="6">
        <v>1224.28</v>
      </c>
      <c r="F14" s="6">
        <v>115</v>
      </c>
      <c r="G14" s="6">
        <v>115</v>
      </c>
      <c r="H14" s="6">
        <v>115</v>
      </c>
      <c r="I14" s="5">
        <v>140792.70000000001</v>
      </c>
      <c r="J14" s="5">
        <v>140792.70000000001</v>
      </c>
      <c r="K14" s="5">
        <v>140792.70000000001</v>
      </c>
    </row>
    <row r="15" spans="1:11" x14ac:dyDescent="0.2">
      <c r="A15" s="49" t="s">
        <v>135</v>
      </c>
      <c r="B15" s="48">
        <v>9000</v>
      </c>
      <c r="C15" s="48" t="s">
        <v>12</v>
      </c>
      <c r="D15" s="48" t="s">
        <v>12</v>
      </c>
      <c r="E15" s="48" t="s">
        <v>12</v>
      </c>
      <c r="F15" s="48" t="s">
        <v>12</v>
      </c>
      <c r="G15" s="48" t="s">
        <v>12</v>
      </c>
      <c r="H15" s="48" t="s">
        <v>12</v>
      </c>
      <c r="I15" s="50">
        <f>7457500+8099050+14350570+183978</f>
        <v>30091098</v>
      </c>
      <c r="J15" s="50">
        <f>I15-183978</f>
        <v>29907120</v>
      </c>
      <c r="K15" s="50">
        <f>J15</f>
        <v>29907120</v>
      </c>
    </row>
  </sheetData>
  <mergeCells count="5">
    <mergeCell ref="A4:A6"/>
    <mergeCell ref="B4:B6"/>
    <mergeCell ref="C4:E4"/>
    <mergeCell ref="F4:H4"/>
    <mergeCell ref="I4:K4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"/>
  <sheetViews>
    <sheetView workbookViewId="0">
      <selection activeCell="F17" sqref="F17"/>
    </sheetView>
  </sheetViews>
  <sheetFormatPr defaultRowHeight="12.75" x14ac:dyDescent="0.2"/>
  <cols>
    <col min="1" max="1" width="33.28515625" style="3" customWidth="1"/>
    <col min="2" max="2" width="9.140625" style="3"/>
    <col min="3" max="11" width="13.28515625" style="3" customWidth="1"/>
    <col min="12" max="16384" width="9.140625" style="3"/>
  </cols>
  <sheetData>
    <row r="1" spans="1:11" ht="15.75" x14ac:dyDescent="0.25">
      <c r="A1" s="46" t="s">
        <v>154</v>
      </c>
      <c r="B1" s="46"/>
      <c r="C1" s="46"/>
      <c r="D1" s="46"/>
      <c r="E1" s="46"/>
      <c r="F1" s="46"/>
      <c r="G1" s="46"/>
    </row>
    <row r="3" spans="1:11" ht="49.5" customHeight="1" x14ac:dyDescent="0.2">
      <c r="A3" s="241" t="s">
        <v>0</v>
      </c>
      <c r="B3" s="241" t="s">
        <v>1</v>
      </c>
      <c r="C3" s="247" t="s">
        <v>150</v>
      </c>
      <c r="D3" s="247"/>
      <c r="E3" s="247"/>
      <c r="F3" s="247" t="s">
        <v>151</v>
      </c>
      <c r="G3" s="247"/>
      <c r="H3" s="247"/>
      <c r="I3" s="247" t="s">
        <v>152</v>
      </c>
      <c r="J3" s="247"/>
      <c r="K3" s="247"/>
    </row>
    <row r="4" spans="1:11" x14ac:dyDescent="0.2">
      <c r="A4" s="241"/>
      <c r="B4" s="241"/>
      <c r="C4" s="48" t="s">
        <v>418</v>
      </c>
      <c r="D4" s="48" t="s">
        <v>451</v>
      </c>
      <c r="E4" s="48" t="s">
        <v>590</v>
      </c>
      <c r="F4" s="204" t="s">
        <v>418</v>
      </c>
      <c r="G4" s="204" t="s">
        <v>451</v>
      </c>
      <c r="H4" s="204" t="s">
        <v>590</v>
      </c>
      <c r="I4" s="204" t="s">
        <v>418</v>
      </c>
      <c r="J4" s="204" t="s">
        <v>451</v>
      </c>
      <c r="K4" s="204" t="s">
        <v>590</v>
      </c>
    </row>
    <row r="5" spans="1:11" ht="38.25" x14ac:dyDescent="0.2">
      <c r="A5" s="241"/>
      <c r="B5" s="241"/>
      <c r="C5" s="48" t="s">
        <v>75</v>
      </c>
      <c r="D5" s="48" t="s">
        <v>76</v>
      </c>
      <c r="E5" s="48" t="s">
        <v>77</v>
      </c>
      <c r="F5" s="48" t="s">
        <v>75</v>
      </c>
      <c r="G5" s="48" t="s">
        <v>76</v>
      </c>
      <c r="H5" s="48" t="s">
        <v>77</v>
      </c>
      <c r="I5" s="48" t="s">
        <v>75</v>
      </c>
      <c r="J5" s="48" t="s">
        <v>76</v>
      </c>
      <c r="K5" s="48" t="s">
        <v>77</v>
      </c>
    </row>
    <row r="6" spans="1:1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x14ac:dyDescent="0.2">
      <c r="A7" s="6" t="s">
        <v>414</v>
      </c>
      <c r="B7" s="178" t="s">
        <v>486</v>
      </c>
      <c r="C7" s="80">
        <f>I7/F7</f>
        <v>12654.838709677419</v>
      </c>
      <c r="D7" s="80">
        <f t="shared" ref="D7:E7" si="0">J7/G7</f>
        <v>12654.838709677419</v>
      </c>
      <c r="E7" s="80">
        <f t="shared" si="0"/>
        <v>12654.838709677419</v>
      </c>
      <c r="F7" s="64">
        <v>155</v>
      </c>
      <c r="G7" s="64">
        <v>155</v>
      </c>
      <c r="H7" s="64">
        <v>155</v>
      </c>
      <c r="I7" s="5">
        <f>I8</f>
        <v>1961500</v>
      </c>
      <c r="J7" s="136">
        <f t="shared" ref="J7:K7" si="1">J8</f>
        <v>1961500</v>
      </c>
      <c r="K7" s="136">
        <f t="shared" si="1"/>
        <v>1961500</v>
      </c>
    </row>
    <row r="8" spans="1:11" x14ac:dyDescent="0.2">
      <c r="A8" s="6" t="s">
        <v>135</v>
      </c>
      <c r="B8" s="2">
        <v>9000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  <c r="I8" s="5">
        <v>1961500</v>
      </c>
      <c r="J8" s="5">
        <f>I8</f>
        <v>1961500</v>
      </c>
      <c r="K8" s="136">
        <f>J8</f>
        <v>1961500</v>
      </c>
    </row>
  </sheetData>
  <mergeCells count="5">
    <mergeCell ref="A3:A5"/>
    <mergeCell ref="B3:B5"/>
    <mergeCell ref="C3:E3"/>
    <mergeCell ref="F3:H3"/>
    <mergeCell ref="I3:K3"/>
  </mergeCells>
  <pageMargins left="0.7" right="0.7" top="0.75" bottom="0.75" header="0.3" footer="0.3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4"/>
  <sheetViews>
    <sheetView workbookViewId="0">
      <selection activeCell="F23" sqref="F23"/>
    </sheetView>
  </sheetViews>
  <sheetFormatPr defaultRowHeight="12.75" x14ac:dyDescent="0.2"/>
  <cols>
    <col min="1" max="1" width="29.7109375" style="3" customWidth="1"/>
    <col min="2" max="2" width="9.140625" style="3"/>
    <col min="3" max="11" width="16" style="3" customWidth="1"/>
    <col min="12" max="16384" width="9.140625" style="3"/>
  </cols>
  <sheetData>
    <row r="1" spans="1:11" ht="15.75" x14ac:dyDescent="0.25">
      <c r="A1" s="46" t="s">
        <v>155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1" ht="49.5" customHeight="1" x14ac:dyDescent="0.2">
      <c r="A3" s="241" t="s">
        <v>0</v>
      </c>
      <c r="B3" s="241" t="s">
        <v>1</v>
      </c>
      <c r="C3" s="247" t="s">
        <v>150</v>
      </c>
      <c r="D3" s="247"/>
      <c r="E3" s="247"/>
      <c r="F3" s="247" t="s">
        <v>151</v>
      </c>
      <c r="G3" s="247"/>
      <c r="H3" s="247"/>
      <c r="I3" s="247" t="s">
        <v>152</v>
      </c>
      <c r="J3" s="247"/>
      <c r="K3" s="247"/>
    </row>
    <row r="4" spans="1:11" x14ac:dyDescent="0.2">
      <c r="A4" s="241"/>
      <c r="B4" s="241"/>
      <c r="C4" s="48" t="s">
        <v>409</v>
      </c>
      <c r="D4" s="48" t="s">
        <v>418</v>
      </c>
      <c r="E4" s="48" t="s">
        <v>451</v>
      </c>
      <c r="F4" s="48" t="s">
        <v>409</v>
      </c>
      <c r="G4" s="48" t="s">
        <v>418</v>
      </c>
      <c r="H4" s="48" t="s">
        <v>451</v>
      </c>
      <c r="I4" s="48" t="s">
        <v>409</v>
      </c>
      <c r="J4" s="48" t="s">
        <v>418</v>
      </c>
      <c r="K4" s="48" t="s">
        <v>451</v>
      </c>
    </row>
    <row r="5" spans="1:11" ht="38.25" x14ac:dyDescent="0.2">
      <c r="A5" s="241"/>
      <c r="B5" s="241"/>
      <c r="C5" s="48" t="s">
        <v>75</v>
      </c>
      <c r="D5" s="48" t="s">
        <v>76</v>
      </c>
      <c r="E5" s="48" t="s">
        <v>77</v>
      </c>
      <c r="F5" s="48" t="s">
        <v>75</v>
      </c>
      <c r="G5" s="48" t="s">
        <v>76</v>
      </c>
      <c r="H5" s="48" t="s">
        <v>77</v>
      </c>
      <c r="I5" s="48" t="s">
        <v>75</v>
      </c>
      <c r="J5" s="48" t="s">
        <v>76</v>
      </c>
      <c r="K5" s="48" t="s">
        <v>77</v>
      </c>
    </row>
    <row r="6" spans="1:1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25.5" x14ac:dyDescent="0.2">
      <c r="A7" s="6" t="s">
        <v>466</v>
      </c>
      <c r="B7" s="178" t="s">
        <v>486</v>
      </c>
      <c r="C7" s="80">
        <v>0</v>
      </c>
      <c r="D7" s="80" t="e">
        <f t="shared" ref="D7:E7" si="0">J7/G7</f>
        <v>#DIV/0!</v>
      </c>
      <c r="E7" s="80" t="e">
        <f t="shared" si="0"/>
        <v>#DIV/0!</v>
      </c>
      <c r="F7" s="64" t="e">
        <f t="shared" ref="F7:F11" si="1">I7/C7</f>
        <v>#DIV/0!</v>
      </c>
      <c r="G7" s="64"/>
      <c r="H7" s="64"/>
      <c r="I7" s="114"/>
      <c r="J7" s="5"/>
      <c r="K7" s="5"/>
    </row>
    <row r="8" spans="1:11" hidden="1" x14ac:dyDescent="0.2">
      <c r="A8" s="6" t="s">
        <v>334</v>
      </c>
      <c r="B8" s="178" t="s">
        <v>487</v>
      </c>
      <c r="C8" s="80" t="e">
        <f t="shared" ref="C8:C15" ca="1" si="2">I8/F8</f>
        <v>#DIV/0!</v>
      </c>
      <c r="D8" s="80" t="e">
        <f t="shared" ref="D8:D15" si="3">J8/G8</f>
        <v>#DIV/0!</v>
      </c>
      <c r="E8" s="80" t="e">
        <f t="shared" ref="E8:E15" si="4">K8/H8</f>
        <v>#DIV/0!</v>
      </c>
      <c r="F8" s="64" t="e">
        <f t="shared" ca="1" si="1"/>
        <v>#DIV/0!</v>
      </c>
      <c r="G8" s="64"/>
      <c r="H8" s="64"/>
      <c r="I8" s="114"/>
      <c r="J8" s="5"/>
      <c r="K8" s="5"/>
    </row>
    <row r="9" spans="1:11" hidden="1" x14ac:dyDescent="0.2">
      <c r="A9" s="6" t="s">
        <v>333</v>
      </c>
      <c r="B9" s="178" t="s">
        <v>488</v>
      </c>
      <c r="C9" s="80" t="e">
        <f t="shared" ca="1" si="2"/>
        <v>#DIV/0!</v>
      </c>
      <c r="D9" s="80" t="e">
        <f t="shared" si="3"/>
        <v>#DIV/0!</v>
      </c>
      <c r="E9" s="80" t="e">
        <f t="shared" si="4"/>
        <v>#DIV/0!</v>
      </c>
      <c r="F9" s="64" t="e">
        <f t="shared" ca="1" si="1"/>
        <v>#DIV/0!</v>
      </c>
      <c r="G9" s="64"/>
      <c r="H9" s="64"/>
      <c r="I9" s="114"/>
      <c r="J9" s="5"/>
      <c r="K9" s="5"/>
    </row>
    <row r="10" spans="1:11" hidden="1" x14ac:dyDescent="0.2">
      <c r="A10" s="6" t="s">
        <v>332</v>
      </c>
      <c r="B10" s="178" t="s">
        <v>511</v>
      </c>
      <c r="C10" s="80" t="e">
        <f t="shared" ca="1" si="2"/>
        <v>#DIV/0!</v>
      </c>
      <c r="D10" s="80" t="e">
        <f t="shared" si="3"/>
        <v>#DIV/0!</v>
      </c>
      <c r="E10" s="80" t="e">
        <f t="shared" si="4"/>
        <v>#DIV/0!</v>
      </c>
      <c r="F10" s="64" t="e">
        <f t="shared" ca="1" si="1"/>
        <v>#DIV/0!</v>
      </c>
      <c r="G10" s="64"/>
      <c r="H10" s="64"/>
      <c r="I10" s="114"/>
      <c r="J10" s="5"/>
      <c r="K10" s="5"/>
    </row>
    <row r="11" spans="1:11" hidden="1" x14ac:dyDescent="0.2">
      <c r="A11" s="6" t="s">
        <v>331</v>
      </c>
      <c r="B11" s="178" t="s">
        <v>512</v>
      </c>
      <c r="C11" s="80" t="e">
        <f t="shared" ca="1" si="2"/>
        <v>#DIV/0!</v>
      </c>
      <c r="D11" s="80" t="e">
        <f t="shared" si="3"/>
        <v>#DIV/0!</v>
      </c>
      <c r="E11" s="80" t="e">
        <f t="shared" si="4"/>
        <v>#DIV/0!</v>
      </c>
      <c r="F11" s="64" t="e">
        <f t="shared" ca="1" si="1"/>
        <v>#DIV/0!</v>
      </c>
      <c r="G11" s="64"/>
      <c r="H11" s="64"/>
      <c r="I11" s="114"/>
      <c r="J11" s="5"/>
      <c r="K11" s="5"/>
    </row>
    <row r="12" spans="1:11" ht="35.25" customHeight="1" x14ac:dyDescent="0.2">
      <c r="A12" s="124" t="s">
        <v>420</v>
      </c>
      <c r="B12" s="178" t="s">
        <v>487</v>
      </c>
      <c r="C12" s="80">
        <v>0</v>
      </c>
      <c r="D12" s="80">
        <v>0</v>
      </c>
      <c r="E12" s="80">
        <v>0</v>
      </c>
      <c r="F12" s="64" t="e">
        <f>I12/C12</f>
        <v>#DIV/0!</v>
      </c>
      <c r="G12" s="64" t="e">
        <f t="shared" ref="G12:H12" si="5">J12/D12</f>
        <v>#DIV/0!</v>
      </c>
      <c r="H12" s="64" t="e">
        <f t="shared" si="5"/>
        <v>#DIV/0!</v>
      </c>
      <c r="I12" s="114"/>
      <c r="J12" s="5"/>
      <c r="K12" s="5"/>
    </row>
    <row r="13" spans="1:11" ht="38.25" x14ac:dyDescent="0.2">
      <c r="A13" s="125" t="s">
        <v>421</v>
      </c>
      <c r="B13" s="178" t="s">
        <v>488</v>
      </c>
      <c r="C13" s="80">
        <v>0</v>
      </c>
      <c r="D13" s="80" t="e">
        <f t="shared" si="3"/>
        <v>#DIV/0!</v>
      </c>
      <c r="E13" s="80" t="e">
        <f t="shared" si="4"/>
        <v>#DIV/0!</v>
      </c>
      <c r="F13" s="64" t="e">
        <f>I13/C13</f>
        <v>#DIV/0!</v>
      </c>
      <c r="G13" s="64"/>
      <c r="H13" s="64"/>
      <c r="I13" s="114"/>
      <c r="J13" s="5"/>
      <c r="K13" s="5"/>
    </row>
    <row r="14" spans="1:11" ht="25.5" x14ac:dyDescent="0.2">
      <c r="A14" s="64" t="s">
        <v>419</v>
      </c>
      <c r="B14" s="178" t="s">
        <v>511</v>
      </c>
      <c r="C14" s="80">
        <v>0</v>
      </c>
      <c r="D14" s="80">
        <v>0</v>
      </c>
      <c r="E14" s="80">
        <v>0</v>
      </c>
      <c r="F14" s="64" t="e">
        <f>I14/C14</f>
        <v>#DIV/0!</v>
      </c>
      <c r="G14" s="64" t="e">
        <f t="shared" ref="G14:H14" si="6">J14/D14</f>
        <v>#DIV/0!</v>
      </c>
      <c r="H14" s="64" t="e">
        <f t="shared" si="6"/>
        <v>#DIV/0!</v>
      </c>
      <c r="I14" s="114"/>
      <c r="J14" s="5"/>
      <c r="K14" s="5"/>
    </row>
    <row r="15" spans="1:11" hidden="1" x14ac:dyDescent="0.2">
      <c r="A15" s="64" t="s">
        <v>330</v>
      </c>
      <c r="B15" s="178" t="s">
        <v>516</v>
      </c>
      <c r="C15" s="80" t="e">
        <f t="shared" si="2"/>
        <v>#DIV/0!</v>
      </c>
      <c r="D15" s="80" t="e">
        <f t="shared" si="3"/>
        <v>#DIV/0!</v>
      </c>
      <c r="E15" s="80" t="e">
        <f t="shared" si="4"/>
        <v>#DIV/0!</v>
      </c>
      <c r="F15" s="64"/>
      <c r="G15" s="64"/>
      <c r="H15" s="64"/>
      <c r="I15" s="50"/>
      <c r="J15" s="5"/>
      <c r="K15" s="5"/>
    </row>
    <row r="16" spans="1:11" ht="25.5" x14ac:dyDescent="0.2">
      <c r="A16" s="126" t="s">
        <v>422</v>
      </c>
      <c r="B16" s="178" t="s">
        <v>512</v>
      </c>
      <c r="C16" s="80">
        <v>0</v>
      </c>
      <c r="D16" s="80">
        <v>0</v>
      </c>
      <c r="E16" s="80">
        <v>0</v>
      </c>
      <c r="F16" s="122" t="e">
        <f>I16/C16</f>
        <v>#DIV/0!</v>
      </c>
      <c r="G16" s="122" t="e">
        <f t="shared" ref="G16:H16" si="7">J16/D16</f>
        <v>#DIV/0!</v>
      </c>
      <c r="H16" s="122" t="e">
        <f t="shared" si="7"/>
        <v>#DIV/0!</v>
      </c>
      <c r="I16" s="50"/>
      <c r="J16" s="5"/>
      <c r="K16" s="5"/>
    </row>
    <row r="17" spans="1:11" x14ac:dyDescent="0.2">
      <c r="A17" s="49" t="s">
        <v>135</v>
      </c>
      <c r="B17" s="48">
        <v>9000</v>
      </c>
      <c r="C17" s="48" t="s">
        <v>12</v>
      </c>
      <c r="D17" s="48" t="s">
        <v>12</v>
      </c>
      <c r="E17" s="48" t="s">
        <v>12</v>
      </c>
      <c r="F17" s="48" t="s">
        <v>12</v>
      </c>
      <c r="G17" s="48" t="s">
        <v>12</v>
      </c>
      <c r="H17" s="48" t="s">
        <v>12</v>
      </c>
      <c r="I17" s="50">
        <f>SUM(I7:I16)</f>
        <v>0</v>
      </c>
      <c r="J17" s="50">
        <f>SUM(J7:J16)</f>
        <v>0</v>
      </c>
      <c r="K17" s="50">
        <f>SUM(K7:K16)</f>
        <v>0</v>
      </c>
    </row>
    <row r="18" spans="1:1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21" spans="1:11" x14ac:dyDescent="0.2">
      <c r="I21" s="82"/>
    </row>
    <row r="23" spans="1:11" x14ac:dyDescent="0.2">
      <c r="I23" s="82"/>
    </row>
    <row r="24" spans="1:11" x14ac:dyDescent="0.2">
      <c r="I24" s="82"/>
    </row>
  </sheetData>
  <mergeCells count="5"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Раздел 1.Поступления и выплаты</vt:lpstr>
      <vt:lpstr>Раздел 2.Сведения по выплатам</vt:lpstr>
      <vt:lpstr>3.1.1.</vt:lpstr>
      <vt:lpstr>3.1.2</vt:lpstr>
      <vt:lpstr>3.1.3</vt:lpstr>
      <vt:lpstr>3.2.1</vt:lpstr>
      <vt:lpstr>3.2.2</vt:lpstr>
      <vt:lpstr>3.2.3пит рп</vt:lpstr>
      <vt:lpstr>3.2.4</vt:lpstr>
      <vt:lpstr>3.2.5</vt:lpstr>
      <vt:lpstr>3.3.1</vt:lpstr>
      <vt:lpstr>3.4.1</vt:lpstr>
      <vt:lpstr>3.5.1</vt:lpstr>
      <vt:lpstr>3.6.1</vt:lpstr>
      <vt:lpstr>3.6.3 Штатка</vt:lpstr>
      <vt:lpstr>3.6.4</vt:lpstr>
      <vt:lpstr>3.6.5</vt:lpstr>
      <vt:lpstr>3.7.1</vt:lpstr>
      <vt:lpstr>3.7.2</vt:lpstr>
      <vt:lpstr>3.8.1</vt:lpstr>
      <vt:lpstr>3.8.2</vt:lpstr>
      <vt:lpstr>3.9</vt:lpstr>
      <vt:lpstr>3.10</vt:lpstr>
      <vt:lpstr>3.11</vt:lpstr>
      <vt:lpstr>3.12</vt:lpstr>
      <vt:lpstr>3.13.1СВОД</vt:lpstr>
      <vt:lpstr>3.13.2 связь</vt:lpstr>
      <vt:lpstr>3.13.3</vt:lpstr>
      <vt:lpstr>3.13.4 ЖКС</vt:lpstr>
      <vt:lpstr>3.13.5</vt:lpstr>
      <vt:lpstr>3.13.6 ст 225</vt:lpstr>
      <vt:lpstr>3.13.7</vt:lpstr>
      <vt:lpstr>3.13.8</vt:lpstr>
      <vt:lpstr>3.13.9 ст 226</vt:lpstr>
      <vt:lpstr>3.13.10 ст 310</vt:lpstr>
      <vt:lpstr>3.13.11 ст 340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Руководитель</dc:creator>
  <cp:lastModifiedBy>ДОУ 2</cp:lastModifiedBy>
  <cp:lastPrinted>2024-01-12T02:27:59Z</cp:lastPrinted>
  <dcterms:created xsi:type="dcterms:W3CDTF">2020-01-22T04:17:51Z</dcterms:created>
  <dcterms:modified xsi:type="dcterms:W3CDTF">2024-01-12T02:29:14Z</dcterms:modified>
</cp:coreProperties>
</file>